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tp\Тарифы техприсоединения 2026\Для раскрытия на сайте до 18.08.2025 г\"/>
    </mc:Choice>
  </mc:AlternateContent>
  <bookViews>
    <workbookView xWindow="-120" yWindow="-120" windowWidth="29040" windowHeight="15720" tabRatio="866" activeTab="8"/>
  </bookViews>
  <sheets>
    <sheet name="прогнозные сведения" sheetId="1" r:id="rId1"/>
    <sheet name="2" sheetId="2" r:id="rId2"/>
    <sheet name="3" sheetId="3" r:id="rId3"/>
    <sheet name="4" sheetId="4" r:id="rId4"/>
    <sheet name="5" sheetId="5" r:id="rId5"/>
    <sheet name="прил 1_2022" sheetId="14" r:id="rId6"/>
    <sheet name="прил 1_2023" sheetId="11" r:id="rId7"/>
    <sheet name="прил 1_2024" sheetId="15" r:id="rId8"/>
    <sheet name="прил 2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8">#REF!</definedName>
    <definedName name="\a">#REF!</definedName>
    <definedName name="\m" localSheetId="8">#REF!</definedName>
    <definedName name="\m">#REF!</definedName>
    <definedName name="\n" localSheetId="8">#REF!</definedName>
    <definedName name="\n">#REF!</definedName>
    <definedName name="\o">#REF!</definedName>
    <definedName name="__123Graph_AGRAPH1" localSheetId="8" hidden="1">'[1]на 1 тут'!#REF!</definedName>
    <definedName name="__123Graph_AGRAPH1" hidden="1">'[1]на 1 тут'!#REF!</definedName>
    <definedName name="__123Graph_AGRAPH2" localSheetId="8" hidden="1">'[1]на 1 тут'!#REF!</definedName>
    <definedName name="__123Graph_AGRAPH2" hidden="1">'[1]на 1 тут'!#REF!</definedName>
    <definedName name="__123Graph_BGRAPH1" localSheetId="8" hidden="1">'[1]на 1 тут'!#REF!</definedName>
    <definedName name="__123Graph_BGRAPH1" hidden="1">'[1]на 1 тут'!#REF!</definedName>
    <definedName name="__123Graph_BGRAPH2" localSheetId="8" hidden="1">'[1]на 1 тут'!#REF!</definedName>
    <definedName name="__123Graph_BGRAPH2" hidden="1">'[1]на 1 тут'!#REF!</definedName>
    <definedName name="__123Graph_CGRAPH1" localSheetId="8" hidden="1">'[1]на 1 тут'!#REF!</definedName>
    <definedName name="__123Graph_CGRAPH1" hidden="1">'[1]на 1 тут'!#REF!</definedName>
    <definedName name="__123Graph_CGRAPH2" localSheetId="8" hidden="1">'[1]на 1 тут'!#REF!</definedName>
    <definedName name="__123Graph_CGRAPH2" hidden="1">'[1]на 1 тут'!#REF!</definedName>
    <definedName name="__123Graph_LBL_AGRAPH1" localSheetId="8" hidden="1">'[1]на 1 тут'!#REF!</definedName>
    <definedName name="__123Graph_LBL_AGRAPH1" hidden="1">'[1]на 1 тут'!#REF!</definedName>
    <definedName name="__123Graph_XGRAPH1" localSheetId="8" hidden="1">'[1]на 1 тут'!#REF!</definedName>
    <definedName name="__123Graph_XGRAPH1" hidden="1">'[1]на 1 тут'!#REF!</definedName>
    <definedName name="__123Graph_XGRAPH2" localSheetId="8" hidden="1">'[1]на 1 тут'!#REF!</definedName>
    <definedName name="__123Graph_XGRAPH2" hidden="1">'[1]на 1 тут'!#REF!</definedName>
    <definedName name="_CST11">[2]MAIN!$A$106:$IV$106</definedName>
    <definedName name="_CST12">[2]MAIN!$A$116:$IV$116</definedName>
    <definedName name="_CST13">[2]MAIN!$A$126:$IV$126</definedName>
    <definedName name="_CST14">[2]MAIN!$A$346:$IV$346</definedName>
    <definedName name="_CST15">[2]MAIN!$A$1198:$IV$1198</definedName>
    <definedName name="_CST21">[2]MAIN!$A$109:$IV$109</definedName>
    <definedName name="_CST22">[2]MAIN!$A$119:$IV$119</definedName>
    <definedName name="_CST23">[2]MAIN!$A$129:$IV$129</definedName>
    <definedName name="_CST24">[2]MAIN!$A$349:$IV$349</definedName>
    <definedName name="_CST25">[2]MAIN!$A$1200:$IV$1200</definedName>
    <definedName name="_FXA1">[2]MAIN!$A$261:$IV$261</definedName>
    <definedName name="_FXA11">[2]MAIN!$A$1204:$IV$1204</definedName>
    <definedName name="_FXA2">[2]MAIN!$A$280:$IV$280</definedName>
    <definedName name="_FXA21">[2]MAIN!$A$1206:$IV$1206</definedName>
    <definedName name="_IRR1">[2]MAIN!$D$1013</definedName>
    <definedName name="_KRD1">[2]MAIN!$A$524:$IV$524</definedName>
    <definedName name="_KRD2">[2]MAIN!$A$552:$IV$552</definedName>
    <definedName name="_LIS1">[2]MAIN!$A$325:$IV$325</definedName>
    <definedName name="_msoanchor_1" localSheetId="8">#REF!</definedName>
    <definedName name="_msoanchor_1">#REF!</definedName>
    <definedName name="_NPV1">[2]MAIN!$D$1004</definedName>
    <definedName name="_PR11">[2]MAIN!$A$66:$IV$66</definedName>
    <definedName name="_PR12">[2]MAIN!$A$76:$IV$76</definedName>
    <definedName name="_PR13">[2]MAIN!$A$86:$IV$86</definedName>
    <definedName name="_PR14">[2]MAIN!$A$1194:$IV$1194</definedName>
    <definedName name="_PR21">[2]MAIN!$A$69:$IV$69</definedName>
    <definedName name="_PR22">[2]MAIN!$A$79:$IV$79</definedName>
    <definedName name="_PR23">[2]MAIN!$A$89:$IV$89</definedName>
    <definedName name="_PR24">[2]MAIN!$A$1196:$IV$1196</definedName>
    <definedName name="_RAZ1">#REF!</definedName>
    <definedName name="_RAZ2">#REF!</definedName>
    <definedName name="_RAZ3">#REF!</definedName>
    <definedName name="_SAL1">[2]MAIN!$A$151:$IV$151</definedName>
    <definedName name="_SAL2">[2]MAIN!$A$161:$IV$161</definedName>
    <definedName name="_SAL3">[2]MAIN!$A$171:$IV$171</definedName>
    <definedName name="_SAL4">[2]MAIN!$A$181:$IV$181</definedName>
    <definedName name="_SP1" localSheetId="8">[3]FES!#REF!</definedName>
    <definedName name="_SP1">[3]FES!#REF!</definedName>
    <definedName name="_SP10" localSheetId="8">[3]FES!#REF!</definedName>
    <definedName name="_SP10">[3]FES!#REF!</definedName>
    <definedName name="_SP11" localSheetId="8">[3]FES!#REF!</definedName>
    <definedName name="_SP11">[3]FES!#REF!</definedName>
    <definedName name="_SP12" localSheetId="8">[3]FES!#REF!</definedName>
    <definedName name="_SP12">[3]FES!#REF!</definedName>
    <definedName name="_SP13" localSheetId="8">[3]FES!#REF!</definedName>
    <definedName name="_SP13">[3]FES!#REF!</definedName>
    <definedName name="_SP14" localSheetId="8">[3]FES!#REF!</definedName>
    <definedName name="_SP14">[3]FES!#REF!</definedName>
    <definedName name="_SP15" localSheetId="8">[3]FES!#REF!</definedName>
    <definedName name="_SP15">[3]FES!#REF!</definedName>
    <definedName name="_SP16" localSheetId="8">[3]FES!#REF!</definedName>
    <definedName name="_SP16">[3]FES!#REF!</definedName>
    <definedName name="_SP17" localSheetId="8">[3]FES!#REF!</definedName>
    <definedName name="_SP17">[3]FES!#REF!</definedName>
    <definedName name="_SP18" localSheetId="8">[3]FES!#REF!</definedName>
    <definedName name="_SP18">[3]FES!#REF!</definedName>
    <definedName name="_SP19" localSheetId="8">[3]FES!#REF!</definedName>
    <definedName name="_SP19">[3]FES!#REF!</definedName>
    <definedName name="_SP2" localSheetId="8">[3]FES!#REF!</definedName>
    <definedName name="_SP2">[3]FES!#REF!</definedName>
    <definedName name="_SP20" localSheetId="8">[3]FES!#REF!</definedName>
    <definedName name="_SP20">[3]FES!#REF!</definedName>
    <definedName name="_SP3" localSheetId="8">[3]FES!#REF!</definedName>
    <definedName name="_SP3">[3]FES!#REF!</definedName>
    <definedName name="_SP4" localSheetId="8">[3]FES!#REF!</definedName>
    <definedName name="_SP4">[3]FES!#REF!</definedName>
    <definedName name="_SP5" localSheetId="8">[3]FES!#REF!</definedName>
    <definedName name="_SP5">[3]FES!#REF!</definedName>
    <definedName name="_SP7" localSheetId="8">[3]FES!#REF!</definedName>
    <definedName name="_SP7">[3]FES!#REF!</definedName>
    <definedName name="_SP8" localSheetId="8">[3]FES!#REF!</definedName>
    <definedName name="_SP8">[3]FES!#REF!</definedName>
    <definedName name="_SP9" localSheetId="8">[3]FES!#REF!</definedName>
    <definedName name="_SP9">[3]FES!#REF!</definedName>
    <definedName name="_tab1">[2]MAIN!$A$33:$AL$60</definedName>
    <definedName name="_tab10">[2]MAIN!$A$241:$AL$299</definedName>
    <definedName name="_tab11">[2]MAIN!$A$301:$AL$337</definedName>
    <definedName name="_tab12">[2]MAIN!$A$339:$AL$401</definedName>
    <definedName name="_tab13">[2]MAIN!$A$403:$AL$437</definedName>
    <definedName name="_tab14">[2]MAIN!$A$439:$AL$481</definedName>
    <definedName name="_tab15">[2]MAIN!$A$483:$AL$528</definedName>
    <definedName name="_tab16">[2]MAIN!$A$530:$AL$556</definedName>
    <definedName name="_tab17">[2]MAIN!$A$558:$AL$588</definedName>
    <definedName name="_tab18">[2]MAIN!$A$590:$AL$701</definedName>
    <definedName name="_tab19">[2]MAIN!$A$703:$AL$727</definedName>
    <definedName name="_tab2">[2]MAIN!$A$62:$AL$70</definedName>
    <definedName name="_tab20">[2]MAIN!$A$729:$AL$774</definedName>
    <definedName name="_tab21">[2]MAIN!$A$776:$AL$807</definedName>
    <definedName name="_tab22">[2]MAIN!$A$809:$AL$822</definedName>
    <definedName name="_tab23">[2]MAIN!$A$824:$AL$847</definedName>
    <definedName name="_tab24">[2]MAIN!$A$849:$AL$878</definedName>
    <definedName name="_tab25">[2]MAIN!$A$880:$AK$929</definedName>
    <definedName name="_tab26">[2]MAIN!$A$932:$AK$956</definedName>
    <definedName name="_tab27">[2]MAIN!$A$958:$AL$1027</definedName>
    <definedName name="_tab28">[2]MAIN!$A$1029:$AL$1088</definedName>
    <definedName name="_tab29">[2]MAIN!$A$1090:$AL$1139</definedName>
    <definedName name="_tab3">[2]MAIN!$A$72:$AL$80</definedName>
    <definedName name="_tab30">[2]MAIN!$A$1141:$AL$1184</definedName>
    <definedName name="_tab31">[2]MAIN!$A$1186:$AK$1206</definedName>
    <definedName name="_tab4">[2]MAIN!$A$82:$AL$100</definedName>
    <definedName name="_tab5">[2]MAIN!$A$102:$AL$110</definedName>
    <definedName name="_tab6">[2]MAIN!$A$112:$AL$120</definedName>
    <definedName name="_tab7">[2]MAIN!$A$122:$AL$140</definedName>
    <definedName name="_tab8">[2]MAIN!$A$142:$AL$190</definedName>
    <definedName name="_tab9">[2]MAIN!$A$192:$AL$239</definedName>
    <definedName name="_TXS1">[2]MAIN!$A$647:$IV$647</definedName>
    <definedName name="_TXS11">[2]MAIN!$A$1105:$IV$1105</definedName>
    <definedName name="_TXS2">[2]MAIN!$A$680:$IV$680</definedName>
    <definedName name="_TXS21">[2]MAIN!$A$1111:$IV$1111</definedName>
    <definedName name="_VC1">[2]MAIN!$F$1249:$AL$1249</definedName>
    <definedName name="_VC2">[2]MAIN!$F$1250:$AL$1250</definedName>
    <definedName name="_Приложение" localSheetId="8" hidden="1">'[1]на 1 тут'!#REF!</definedName>
    <definedName name="_Приложение" hidden="1">'[1]на 1 тут'!#REF!</definedName>
    <definedName name="_xlnm._FilterDatabase" localSheetId="5" hidden="1">'прил 1_2022'!$A$32:$J$197</definedName>
    <definedName name="AN">[4]!AN</definedName>
    <definedName name="asasfddddddddddddddddd">[4]!asasfddddddddddddddddd</definedName>
    <definedName name="b">[4]!b</definedName>
    <definedName name="B490_02" localSheetId="8">'[5]УФ-61'!#REF!</definedName>
    <definedName name="B490_02">'[5]УФ-61'!#REF!</definedName>
    <definedName name="BazPotrEEList">[6]Лист!$A$90</definedName>
    <definedName name="bb">[4]!bb</definedName>
    <definedName name="bbbbbbnhnmh">[4]!bbbbbbnhnmh</definedName>
    <definedName name="bfd" localSheetId="8" hidden="1">{#N/A,#N/A,TRUE,"Лист1";#N/A,#N/A,TRUE,"Лист2";#N/A,#N/A,TRUE,"Лист3"}</definedName>
    <definedName name="bfd" hidden="1">{#N/A,#N/A,TRUE,"Лист1";#N/A,#N/A,TRUE,"Лист2";#N/A,#N/A,TRUE,"Лист3"}</definedName>
    <definedName name="bfgd">[4]!bfgd</definedName>
    <definedName name="bgfcdfs">[4]!bgfcdfs</definedName>
    <definedName name="bghjjjjjjjjjjjjjjjjjj" localSheetId="8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>[4]!bghty</definedName>
    <definedName name="bghvgvvvvvvvvvvvvvvvvv" localSheetId="8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>[4]!bhgggf</definedName>
    <definedName name="bhgggggggggggggggg">[4]!bhgggggggggggggggg</definedName>
    <definedName name="bhjghff">[4]!bhjghff</definedName>
    <definedName name="bmjjhbvfgf">[4]!bmjjhbvfgf</definedName>
    <definedName name="bnbbnvbcvbcvx">[4]!bnbbnvbcvbcvx</definedName>
    <definedName name="bnghfh">[4]!bnghfh</definedName>
    <definedName name="BoilList">[6]Лист!$A$270</definedName>
    <definedName name="BoilQnt">[6]Лист!$B$271</definedName>
    <definedName name="BudPotrEE">[6]Параметры!$B$9</definedName>
    <definedName name="BudPotrEEList">[6]Лист!$A$120</definedName>
    <definedName name="BudPotrTE">[6]Лист!$B$311</definedName>
    <definedName name="BudPotrTEList">[6]Лист!$A$310</definedName>
    <definedName name="BuzPotrEE">[6]Параметры!$B$8</definedName>
    <definedName name="bvbvffffffffffff" localSheetId="8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8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[4]!bvffffffffffffffff</definedName>
    <definedName name="bvffffffffffffffffff" localSheetId="8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>[4]!bvfgdfsf</definedName>
    <definedName name="bvggggggggggggggg" localSheetId="8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>[4]!bvgggggggggggggggg</definedName>
    <definedName name="bvhggggggggggggggggggg">[4]!bvhggggggggggggggggggg</definedName>
    <definedName name="bvjhjjjjjjjjjjjjjjjjjjjjj">[4]!bvjhjjjjjjjjjjjjjjjjjjjjj</definedName>
    <definedName name="bvnvb">[4]!bvnvb</definedName>
    <definedName name="bvvb">[4]!bvvb</definedName>
    <definedName name="bvvmnbm">[4]!bvvmnbm</definedName>
    <definedName name="bvvvcxcv">[4]!bvvvcxcv</definedName>
    <definedName name="cash">[2]MAIN!$F$876:$AL$876</definedName>
    <definedName name="cash1">[2]MAIN!$F$1251:$AJ$1251</definedName>
    <definedName name="cash2">[2]MAIN!$F$1252:$AJ$1252</definedName>
    <definedName name="cashforeign">[2]MAIN!$F$845:$AL$845</definedName>
    <definedName name="cashlocal">[2]MAIN!$F$805:$AL$805</definedName>
    <definedName name="ccffffffffffffffffffff">[4]!ccffffffffffffffffffff</definedName>
    <definedName name="cdsdddddddddddddddd">[4]!cdsdddddddddddddddd</definedName>
    <definedName name="cdsesssssssssssssssss">[4]!cdsesssssssssssssssss</definedName>
    <definedName name="cfddddddddddddd">[4]!cfddddddddddddd</definedName>
    <definedName name="cfdddddddddddddddddd">[4]!cfdddddddddddddddddd</definedName>
    <definedName name="cfgdffffffffffffff">[4]!cfgdffffffffffffff</definedName>
    <definedName name="cfghhhhhhhhhhhhhhhhh">[4]!cfghhhhhhhhhhhhhhhhh</definedName>
    <definedName name="CoalQnt">[6]Лист!$B$12</definedName>
    <definedName name="CompOt">[4]!CompOt</definedName>
    <definedName name="CompOt2">[4]!CompOt2</definedName>
    <definedName name="CompRas">[4]!CompRas</definedName>
    <definedName name="COST1">[2]MAIN!$A$105:$IV$106</definedName>
    <definedName name="COST2">[2]MAIN!$A$108:$IV$109</definedName>
    <definedName name="csddddddddddddddd">[4]!csddddddddddddddd</definedName>
    <definedName name="cur_assets">[2]MAIN!$F$899:$AK$899</definedName>
    <definedName name="cur_liab">[2]MAIN!$F$923:$AK$923</definedName>
    <definedName name="cv">[4]!cv</definedName>
    <definedName name="cvb">[4]!cvb</definedName>
    <definedName name="cvbcvnb">[4]!cvbcvnb</definedName>
    <definedName name="cvbnnb">[4]!cvbnnb</definedName>
    <definedName name="cvbvvnbvnm">[4]!cvbvvnbvnm</definedName>
    <definedName name="cvdddddddddddddddd">[4]!cvdddddddddddddddd</definedName>
    <definedName name="cvxdsda">[4]!cvxdsda</definedName>
    <definedName name="cxcvvbnvnb">[4]!cxcvvbnvnb</definedName>
    <definedName name="cxdddddddddddddddddd">[4]!cxdddddddddddddddddd</definedName>
    <definedName name="cxdfsdssssssssssssss">[4]!cxdfsdssssssssssssss</definedName>
    <definedName name="cxdweeeeeeeeeeeeeeeeeee">[4]!cxdweeeeeeeeeeeeeeeeeee</definedName>
    <definedName name="cxvvvvvvvvvvvvvvvvvvv" localSheetId="8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>[4]!cxxdddddddddddddddd</definedName>
    <definedName name="data_">[2]MAIN!$F$18</definedName>
    <definedName name="dfdfddddddddfddddddddddfd">[4]!dfdfddddddddfddddddddddfd</definedName>
    <definedName name="dfdfgggggggggggggggggg">[4]!dfdfgggggggggggggggggg</definedName>
    <definedName name="dfdfsssssssssssssssssss">[4]!dfdfsssssssssssssssssss</definedName>
    <definedName name="dfdghj">[4]!dfdghj</definedName>
    <definedName name="dffdghfh">[4]!dffdghfh</definedName>
    <definedName name="dfgdfgdghf">[4]!dfgdfgdghf</definedName>
    <definedName name="dfgfdgfjh">[4]!dfgfdgfjh</definedName>
    <definedName name="dfhghhjjkl">[4]!dfhghhjjkl</definedName>
    <definedName name="dfrgtt">[4]!dfrgtt</definedName>
    <definedName name="dfxffffffffffffffffff">[4]!dfxffffffffffffffffff</definedName>
    <definedName name="DPAYB">[2]MAIN!$D$1002</definedName>
    <definedName name="dsdddddddddddddddddddd">[4]!dsdddddddddddddddddddd</definedName>
    <definedName name="dsffffffffffffffffffffffffff">[4]!dsffffffffffffffffffffffffff</definedName>
    <definedName name="dsfgdghjhg" localSheetId="8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>[4]!dxsddddddddddddddd</definedName>
    <definedName name="ee">[4]!ee</definedName>
    <definedName name="errtrtruy">[4]!errtrtruy</definedName>
    <definedName name="errttuyiuy" localSheetId="8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8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[4]!ert</definedName>
    <definedName name="ertetyruy">[4]!ertetyruy</definedName>
    <definedName name="esdsfdfgh" localSheetId="8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>[4]!eswdfgf</definedName>
    <definedName name="etrtyt">[4]!etrtyt</definedName>
    <definedName name="etrytru" localSheetId="8" hidden="1">{#N/A,#N/A,TRUE,"Лист1";#N/A,#N/A,TRUE,"Лист2";#N/A,#N/A,TRUE,"Лист3"}</definedName>
    <definedName name="etrytru" hidden="1">{#N/A,#N/A,TRUE,"Лист1";#N/A,#N/A,TRUE,"Лист2";#N/A,#N/A,TRUE,"Лист3"}</definedName>
    <definedName name="ew">[4]!ew</definedName>
    <definedName name="ewesds">[4]!ewesds</definedName>
    <definedName name="ewrtertuyt" localSheetId="8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>[4]!ewsddddddddddddddddd</definedName>
    <definedName name="F" localSheetId="8">#REF!</definedName>
    <definedName name="F">#REF!</definedName>
    <definedName name="fbgffnjfgg">[4]!fbgffnjfgg</definedName>
    <definedName name="fddddddddddddddd">[4]!fddddddddddddddd</definedName>
    <definedName name="fdfccgh" localSheetId="8" hidden="1">{#N/A,#N/A,TRUE,"Лист1";#N/A,#N/A,TRUE,"Лист2";#N/A,#N/A,TRUE,"Лист3"}</definedName>
    <definedName name="fdfccgh" hidden="1">{#N/A,#N/A,TRUE,"Лист1";#N/A,#N/A,TRUE,"Лист2";#N/A,#N/A,TRUE,"Лист3"}</definedName>
    <definedName name="fdfg">[4]!fdfg</definedName>
    <definedName name="fdfgdjgfh">[4]!fdfgdjgfh</definedName>
    <definedName name="fdfggghgjh" localSheetId="8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>[4]!fdfsdsssssssssssssssssssss</definedName>
    <definedName name="fdfvcvvv">[4]!fdfvcvvv</definedName>
    <definedName name="fdghfghfj">[4]!fdghfghfj</definedName>
    <definedName name="fdgrfgdgggggggggggggg">[4]!fdgrfgdgggggggggggggg</definedName>
    <definedName name="fdrttttggggggggggg">[4]!fdrttttggggggggggg</definedName>
    <definedName name="fg">[4]!fg</definedName>
    <definedName name="fgfgf">[4]!fgfgf</definedName>
    <definedName name="fgfgffffff">[4]!fgfgffffff</definedName>
    <definedName name="fgfhghhhhhhhhhhh">[4]!fgfhghhhhhhhhhhh</definedName>
    <definedName name="fgghfhghj" localSheetId="8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>[4]!fggjhgjk</definedName>
    <definedName name="fghgfh">[4]!fghgfh</definedName>
    <definedName name="fghghjk" localSheetId="8" hidden="1">{#N/A,#N/A,TRUE,"Лист1";#N/A,#N/A,TRUE,"Лист2";#N/A,#N/A,TRUE,"Лист3"}</definedName>
    <definedName name="fghghjk" hidden="1">{#N/A,#N/A,TRUE,"Лист1";#N/A,#N/A,TRUE,"Лист2";#N/A,#N/A,TRUE,"Лист3"}</definedName>
    <definedName name="fghk">[4]!fghk</definedName>
    <definedName name="fgjhfhgj">[4]!fgjhfhgj</definedName>
    <definedName name="fhghgjh" localSheetId="8" hidden="1">{#N/A,#N/A,TRUE,"Лист1";#N/A,#N/A,TRUE,"Лист2";#N/A,#N/A,TRUE,"Лист3"}</definedName>
    <definedName name="fhghgjh" hidden="1">{#N/A,#N/A,TRUE,"Лист1";#N/A,#N/A,TRUE,"Лист2";#N/A,#N/A,TRUE,"Лист3"}</definedName>
    <definedName name="fhgjh">[4]!fhgjh</definedName>
    <definedName name="FIXASSETS1">[2]MAIN!$A$245:$IV$260</definedName>
    <definedName name="FIXASSETS2">[2]MAIN!$A$263:$IV$279</definedName>
    <definedName name="FixTarifList">[6]Лист!$A$410</definedName>
    <definedName name="fsderswerwer">[4]!fsderswerwer</definedName>
    <definedName name="ftfhtfhgft">[4]!ftfhtfhgft</definedName>
    <definedName name="FuelQnt">[6]Лист!$B$17</definedName>
    <definedName name="g">[4]!g</definedName>
    <definedName name="gdgfgghj">[4]!gdgfgghj</definedName>
    <definedName name="GESList">[6]Лист!$A$30</definedName>
    <definedName name="GESQnt">[6]Параметры!$B$6</definedName>
    <definedName name="gffffffffffffff" localSheetId="8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>[4]!gfgfddddddddddd</definedName>
    <definedName name="gfgffdssssssssssssss" localSheetId="8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>[4]!gfgfffgh</definedName>
    <definedName name="gfgfgfcccccccccccccccccccccc">[4]!gfgfgfcccccccccccccccccccccc</definedName>
    <definedName name="gfgfgffffffffffffff">[4]!gfgfgffffffffffffff</definedName>
    <definedName name="gfgfgfffffffffffffff">[4]!gfgfgfffffffffffffff</definedName>
    <definedName name="gfgfgfh">[4]!gfgfgfh</definedName>
    <definedName name="gfgfhgfhhhhhhhhhhhhhhhhh" localSheetId="8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>[4]!gfhggggggggggggggg</definedName>
    <definedName name="gfhghgjk">[4]!gfhghgjk</definedName>
    <definedName name="gfhgjh">[4]!gfhgjh</definedName>
    <definedName name="ggfffffffffffff">[4]!ggfffffffffffff</definedName>
    <definedName name="ggg">[4]!ggg</definedName>
    <definedName name="gggggggggggg" localSheetId="8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8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[4]!gggggggggggggggggg</definedName>
    <definedName name="gghggggggggggg">[4]!gghggggggggggg</definedName>
    <definedName name="gh">[4]!gh</definedName>
    <definedName name="ghfffffffffffffff">[4]!ghfffffffffffffff</definedName>
    <definedName name="ghfhfh">[4]!ghfhfh</definedName>
    <definedName name="ghghf">[4]!ghghf</definedName>
    <definedName name="ghghgy" localSheetId="8" hidden="1">{#N/A,#N/A,TRUE,"Лист1";#N/A,#N/A,TRUE,"Лист2";#N/A,#N/A,TRUE,"Лист3"}</definedName>
    <definedName name="ghghgy" hidden="1">{#N/A,#N/A,TRUE,"Лист1";#N/A,#N/A,TRUE,"Лист2";#N/A,#N/A,TRUE,"Лист3"}</definedName>
    <definedName name="ghgjgk">[4]!ghgjgk</definedName>
    <definedName name="ghgjjjjjjjjjjjjjjjjjjjjjjjj">[4]!ghgjjjjjjjjjjjjjjjjjjjjjjjj</definedName>
    <definedName name="ghhhjgh">[4]!ghhhjgh</definedName>
    <definedName name="ghhjgygft">[4]!ghhjgygft</definedName>
    <definedName name="ghhktyi">[4]!ghhktyi</definedName>
    <definedName name="ghjghkjkkjl">[4]!ghjghkjkkjl</definedName>
    <definedName name="ghjhfghdrgd">[4]!ghjhfghdrgd</definedName>
    <definedName name="grdtrgcfg" localSheetId="8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>[4]!grety5e</definedName>
    <definedName name="h">[4]!h</definedName>
    <definedName name="hfte">[4]!hfte</definedName>
    <definedName name="hgffgddfd" localSheetId="8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[4]!hgfgddddddddddddd</definedName>
    <definedName name="hgfty">[4]!hgfty</definedName>
    <definedName name="hgfvhgffdgfdsdass">[4]!hgfvhgffdgfdsdass</definedName>
    <definedName name="hggg">[4]!hggg</definedName>
    <definedName name="hghf">[4]!hghf</definedName>
    <definedName name="hghffgereeeeeeeeeeeeee">[4]!hghffgereeeeeeeeeeeeee</definedName>
    <definedName name="hghfgd">[4]!hghfgd</definedName>
    <definedName name="hghgfdddddddddddd">[4]!hghgfdddddddddddd</definedName>
    <definedName name="hghgff">[4]!hghgff</definedName>
    <definedName name="hghgfhgfgd">[4]!hghgfhgfgd</definedName>
    <definedName name="hghggggggggggggggg">[4]!hghggggggggggggggg</definedName>
    <definedName name="hghgggggggggggggggg">[4]!hghgggggggggggggggg</definedName>
    <definedName name="hghgh">[4]!hghgh</definedName>
    <definedName name="hghghff">[4]!hghghff</definedName>
    <definedName name="hghgy">[4]!hghgy</definedName>
    <definedName name="hghjjjjjjjjjjjjjjjjjjjjjjjj">[4]!hghjjjjjjjjjjjjjjjjjjjjjjjj</definedName>
    <definedName name="hgjggjhk">[4]!hgjggjhk</definedName>
    <definedName name="hgjhgj">[4]!hgjhgj</definedName>
    <definedName name="hgjjjjjjjjjjjjjjjjjjjjj">[4]!hgjjjjjjjjjjjjjjjjjjjjj</definedName>
    <definedName name="hgkgjh">[4]!hgkgjh</definedName>
    <definedName name="hgyjyjghgjyjjj">[4]!hgyjyjghgjyjjj</definedName>
    <definedName name="hh">[4]!hh</definedName>
    <definedName name="hhghdffff">[4]!hhghdffff</definedName>
    <definedName name="hhghfrte">[4]!hhghfrte</definedName>
    <definedName name="hhhhhhhhhhhh">[4]!hhhhhhhhhhhh</definedName>
    <definedName name="hhhhhhhhhhhhhhhhhhhhhhhhhhhhhhhhhhhhhhhhhhhhhhhhhhhhhhhhhhhhhh">[4]!hhhhhhhhhhhhhhhhhhhhhhhhhhhhhhhhhhhhhhhhhhhhhhhhhhhhhhhhhhhhhh</definedName>
    <definedName name="hhhhhthhhhthhth" localSheetId="8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>[4]!hhtgyghgy</definedName>
    <definedName name="hj">[4]!hj</definedName>
    <definedName name="hjghhgf">[4]!hjghhgf</definedName>
    <definedName name="hjghjgf">[4]!hjghjgf</definedName>
    <definedName name="hjhjgfdfs">[4]!hjhjgfdfs</definedName>
    <definedName name="hjhjhghgfg">[4]!hjhjhghgfg</definedName>
    <definedName name="hjjgjgd">[4]!hjjgjgd</definedName>
    <definedName name="hjjhjhgfgffds">[4]!hjjhjhgfgffds</definedName>
    <definedName name="hvhgfhgdfgd">[4]!hvhgfhgdfgd</definedName>
    <definedName name="hvjfjghfyufuyg">[4]!hvjfjghfyufuyg</definedName>
    <definedName name="hyghggggggggggggggg" localSheetId="8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>[4]!i</definedName>
    <definedName name="iiiiii">[4]!iiiiii</definedName>
    <definedName name="iijjjjjjjjjjjjj">[4]!iijjjjjjjjjjjjj</definedName>
    <definedName name="ijhukjhjkhj">[4]!ijhukjhjkhj</definedName>
    <definedName name="imuuybrd">[4]!imuuybrd</definedName>
    <definedName name="INDASS1">[2]MAIN!$F$247:$AJ$247</definedName>
    <definedName name="INDASS2">[2]MAIN!$F$265:$AJ$265</definedName>
    <definedName name="ioiomkjjjjj">[4]!ioiomkjjjjj</definedName>
    <definedName name="iouhnjvgfcfd">[4]!iouhnjvgfcfd</definedName>
    <definedName name="iouiuyiuyutuyrt">[4]!iouiuyiuyutuyrt</definedName>
    <definedName name="iounuibuig">[4]!iounuibuig</definedName>
    <definedName name="iouyuytytfty">[4]!iouyuytytfty</definedName>
    <definedName name="ISHOD1">#REF!</definedName>
    <definedName name="ISHOD2_1">#REF!</definedName>
    <definedName name="ISHOD2_2">#REF!</definedName>
    <definedName name="iuiiiiiiiiiiiiiiiiii" localSheetId="8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>[4]!iuiohjkjk</definedName>
    <definedName name="iuiuyggggggggggggggggggg">[4]!iuiuyggggggggggggggggggg</definedName>
    <definedName name="iuiuytrsgfjh">[4]!iuiuytrsgfjh</definedName>
    <definedName name="iuiytyyfdg" localSheetId="8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>[4]!iujjjjjjjjjhjh</definedName>
    <definedName name="iujjjjjjjjjjjjjjjjjj">[4]!iujjjjjjjjjjjjjjjjjj</definedName>
    <definedName name="iukjjjjjjjjjjjj" localSheetId="8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>[4]!iukjkjgh</definedName>
    <definedName name="iuubbbbbbbbbbbb">[4]!iuubbbbbbbbbbbb</definedName>
    <definedName name="iuuhhbvg">[4]!iuuhhbvg</definedName>
    <definedName name="iuuitt">[4]!iuuitt</definedName>
    <definedName name="iuuiyyttyty">[4]!iuuiyyttyty</definedName>
    <definedName name="iuuuuuuuuuuuuuuuu">[4]!iuuuuuuuuuuuuuuuu</definedName>
    <definedName name="iuuuuuuuuuuuuuuuuuuu">[4]!iuuuuuuuuuuuuuuuuuuu</definedName>
    <definedName name="iuuyyyyyyyyyyyyyyy">[4]!iuuyyyyyyyyyyyyyyy</definedName>
    <definedName name="iyuuytvt" localSheetId="8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>[4]!jbnbvggggggggggggggg</definedName>
    <definedName name="jghghfd">[4]!jghghfd</definedName>
    <definedName name="jgjhgd">[4]!jgjhgd</definedName>
    <definedName name="jhfgfs" localSheetId="8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>[4]!jhfghfyu</definedName>
    <definedName name="jhfghgfgfgfdfs" localSheetId="8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>[4]!jhghfd</definedName>
    <definedName name="jhghjf">[4]!jhghjf</definedName>
    <definedName name="jhhgfddfs">[4]!jhhgfddfs</definedName>
    <definedName name="jhhgjhgf">[4]!jhhgjhgf</definedName>
    <definedName name="jhhhjhgghg">[4]!jhhhjhgghg</definedName>
    <definedName name="jhhjgkjgl">[4]!jhhjgkjgl</definedName>
    <definedName name="jhjgfghf">[4]!jhjgfghf</definedName>
    <definedName name="jhjgjgh">[4]!jhjgjgh</definedName>
    <definedName name="jhjhf">[4]!jhjhf</definedName>
    <definedName name="jhjhjhjggggggggggggg">[4]!jhjhjhjggggggggggggg</definedName>
    <definedName name="jhjhyyyyyyyyyyyyyy">[4]!jhjhyyyyyyyyyyyyyy</definedName>
    <definedName name="jhjjhhhhhh">[4]!jhjjhhhhhh</definedName>
    <definedName name="jhjkghgdd">[4]!jhjkghgdd</definedName>
    <definedName name="jhjytyyyyyyyyyyyyyyyy" localSheetId="8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>[4]!jhkhjghfg</definedName>
    <definedName name="jhkjhjhg">[4]!jhkjhjhg</definedName>
    <definedName name="jhtjgyt" localSheetId="8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>[4]!jhujghj</definedName>
    <definedName name="jhujy">[4]!jhujy</definedName>
    <definedName name="jhy">[4]!jhy</definedName>
    <definedName name="jjhjgjhfg">[4]!jjhjgjhfg</definedName>
    <definedName name="jjhjhhhhhhhhhhhhhhh">[4]!jjhjhhhhhhhhhhhhhhh</definedName>
    <definedName name="jjjjjjjj">[4]!jjjjjjjj</definedName>
    <definedName name="jjkjhhgffd">[4]!jjkjhhgffd</definedName>
    <definedName name="jkbvbcdxd">[4]!jkbvbcdxd</definedName>
    <definedName name="jkhffddds" localSheetId="8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>[4]!jkhujygytf</definedName>
    <definedName name="jkkjhgj" localSheetId="8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8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8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[4]!jujhghgcvgfxc</definedName>
    <definedName name="jyihtg">[4]!jyihtg</definedName>
    <definedName name="jyuytvbyvtvfr" localSheetId="8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>[4]!k</definedName>
    <definedName name="khjkhjghf" localSheetId="8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>[4]!kiuytte</definedName>
    <definedName name="kj" localSheetId="8" hidden="1">{#N/A,#N/A,TRUE,"Лист1";#N/A,#N/A,TRUE,"Лист2";#N/A,#N/A,TRUE,"Лист3"}</definedName>
    <definedName name="kj" hidden="1">{#N/A,#N/A,TRUE,"Лист1";#N/A,#N/A,TRUE,"Лист2";#N/A,#N/A,TRUE,"Лист3"}</definedName>
    <definedName name="kjhhgfgfs">[4]!kjhhgfgfs</definedName>
    <definedName name="kjhiuh">[4]!kjhiuh</definedName>
    <definedName name="kjhjhgggggggggggggg">[4]!kjhjhgggggggggggggg</definedName>
    <definedName name="kjhjhhjgfd">[4]!kjhjhhjgfd</definedName>
    <definedName name="kjhkghgggggggggggg">[4]!kjhkghgggggggggggg</definedName>
    <definedName name="kjhkjhjggh">[4]!kjhkjhjggh</definedName>
    <definedName name="kjhmnmfg">[4]!kjhmnmfg</definedName>
    <definedName name="kjhvvvvvvvvvvvvvvvvv" localSheetId="8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>[4]!kjjhghftyfy</definedName>
    <definedName name="kjjhjhghgh">[4]!kjjhjhghgh</definedName>
    <definedName name="kjjjjjhhhhhhhhhhhhh" localSheetId="8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>[4]!kjjkhgf</definedName>
    <definedName name="kjjkkjhjhgjhg">[4]!kjjkkjhjhgjhg</definedName>
    <definedName name="kjjyhjhuyh">[4]!kjjyhjhuyh</definedName>
    <definedName name="kjkhj">[4]!kjkhj</definedName>
    <definedName name="kjkhjkjhgh" localSheetId="8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>[4]!kjkhkjhjcx</definedName>
    <definedName name="kjkjhjhjhghgf" localSheetId="8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>[4]!kjkjhjjjjjjjjjjjjjjjjj</definedName>
    <definedName name="kjkjjhhgfgfdds">[4]!kjkjjhhgfgfdds</definedName>
    <definedName name="kjkjjjjjjjjjjjjjjjj">[4]!kjkjjjjjjjjjjjjjjjj</definedName>
    <definedName name="kjlkji">[4]!kjlkji</definedName>
    <definedName name="kjlkjkhghjfgf">[4]!kjlkjkhghjfgf</definedName>
    <definedName name="kjmnmbn">[4]!kjmnmbn</definedName>
    <definedName name="kjuiuuuuuuuuuuuuuuu">[4]!kjuiuuuuuuuuuuuuuuu</definedName>
    <definedName name="kjuiyyyyyyyyyyyyyyyyyy">[4]!kjuiyyyyyyyyyyyyyyyyyy</definedName>
    <definedName name="kjykhjy">[4]!kjykhjy</definedName>
    <definedName name="kkkkkkkkkkkkkkkk">[4]!kkkkkkkkkkkkkkkk</definedName>
    <definedName name="kkljkjjjjjjjjjjjjj">[4]!kkljkjjjjjjjjjjjjj</definedName>
    <definedName name="kljhjkghv" localSheetId="8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>[4]!kljjhgfhg</definedName>
    <definedName name="klkjkjhhffdx">[4]!klkjkjhhffdx</definedName>
    <definedName name="klljjjhjgghf" localSheetId="8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>[4]!kmnjnj</definedName>
    <definedName name="knkn.n.">[4]!knkn.n.</definedName>
    <definedName name="koeff1">[2]MAIN!$C$1327</definedName>
    <definedName name="koeff2">[2]MAIN!$C$1328</definedName>
    <definedName name="koeff3">[2]MAIN!$C$1329</definedName>
    <definedName name="koeff4">[2]MAIN!$C$1330</definedName>
    <definedName name="koeff5">[2]MAIN!$F$980</definedName>
    <definedName name="KorQnt">[6]Параметры!$B$5</definedName>
    <definedName name="KotList">[6]Лист!$A$260</definedName>
    <definedName name="KotQnt">[6]Лист!$B$261</definedName>
    <definedName name="KREDIT1">[2]MAIN!$A$486:$IV$504</definedName>
    <definedName name="KREDIT2">[2]MAIN!$A$533:$IV$551</definedName>
    <definedName name="kuykjhjkhy">[4]!kuykjhjkhy</definedName>
    <definedName name="labor_costs">[2]MAIN!$F$187:$AL$187</definedName>
    <definedName name="Language">[2]MAIN!$F$1247</definedName>
    <definedName name="lastcolumn">[2]MAIN!$AJ$1:$AJ$65536</definedName>
    <definedName name="likuih" localSheetId="8" hidden="1">{#N/A,#N/A,TRUE,"Лист1";#N/A,#N/A,TRUE,"Лист2";#N/A,#N/A,TRUE,"Лист3"}</definedName>
    <definedName name="likuih" hidden="1">{#N/A,#N/A,TRUE,"Лист1";#N/A,#N/A,TRUE,"Лист2";#N/A,#N/A,TRUE,"Лист3"}</definedName>
    <definedName name="LISING1">[2]MAIN!$A$305:$IV$324</definedName>
    <definedName name="lkjjjjjjjjjjjj">[4]!lkjjjjjjjjjjjj</definedName>
    <definedName name="lkjklhjkghjffgd">[4]!lkjklhjkghjffgd</definedName>
    <definedName name="lkjkljhjkjhghjfg">[4]!lkjkljhjkjhghjfg</definedName>
    <definedName name="lkkkkkkkkkkkkkk">[4]!lkkkkkkkkkkkkkk</definedName>
    <definedName name="lkkljhhggtg" localSheetId="8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>[4]!lkljhjhghggf</definedName>
    <definedName name="lkljkjhjhggfdgf" localSheetId="8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>[4]!lkljkjhjkjh</definedName>
    <definedName name="lklkjkjhjhfg">[4]!lklkjkjhjhfg</definedName>
    <definedName name="lklkkllk">[4]!lklkkllk</definedName>
    <definedName name="lklkljkhjhgh">[4]!lklkljkhjhgh</definedName>
    <definedName name="lklklkjkj">[4]!lklklkjkj</definedName>
    <definedName name="lllllll">[4]!lllllll</definedName>
    <definedName name="MAXWC">[2]MAIN!$C$1340</definedName>
    <definedName name="Method">[2]MAIN!$F$29</definedName>
    <definedName name="mhgg">[4]!mhgg</definedName>
    <definedName name="mhyt" localSheetId="8" hidden="1">{#N/A,#N/A,TRUE,"Лист1";#N/A,#N/A,TRUE,"Лист2";#N/A,#N/A,TRUE,"Лист3"}</definedName>
    <definedName name="mhyt" hidden="1">{#N/A,#N/A,TRUE,"Лист1";#N/A,#N/A,TRUE,"Лист2";#N/A,#N/A,TRUE,"Лист3"}</definedName>
    <definedName name="MINCASH">[2]MAIN!$C$1338</definedName>
    <definedName name="minlabor_costs">[2]MAIN!$F$594:$AL$594</definedName>
    <definedName name="MINPROFIT">[2]MAIN!$C$1339</definedName>
    <definedName name="mjghggggggggggggg">[4]!mjghggggggggggggg</definedName>
    <definedName name="mjhhhhhujy">[4]!mjhhhhhujy</definedName>
    <definedName name="mjhuiy" localSheetId="8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>[4]!mjnnnnnnnnnnnnnnkjnmh</definedName>
    <definedName name="mjujy">[4]!mjujy</definedName>
    <definedName name="mnbhjf">[4]!mnbhjf</definedName>
    <definedName name="mnghr">[4]!mnghr</definedName>
    <definedName name="mnmbnvb">[4]!mnmbnvb</definedName>
    <definedName name="mnnjjjjjjjjjjjjj" localSheetId="8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Money1">[2]MAIN!$F$20</definedName>
    <definedName name="Money11">[2]MAIN!$F$21</definedName>
    <definedName name="Money2">[2]MAIN!$F$24</definedName>
    <definedName name="Money21">[2]MAIN!$F$25</definedName>
    <definedName name="MoneyR">[2]MAIN!$F$1248</definedName>
    <definedName name="n">[4]!n</definedName>
    <definedName name="NasPotrEE">[6]Параметры!$B$10</definedName>
    <definedName name="NasPotrEEList">[6]Лист!$A$150</definedName>
    <definedName name="nbbcbvx">[4]!nbbcbvx</definedName>
    <definedName name="nbbvgf" localSheetId="8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>[4]!nbghhhhhhhhhhhhhhhhhhhhhh</definedName>
    <definedName name="nbhggggggggggggg">[4]!nbhggggggggggggg</definedName>
    <definedName name="nbhgggggggggggggggg">[4]!nbhgggggggggggggggg</definedName>
    <definedName name="nbhhhhhhhhhhhhhhhh">[4]!nbhhhhhhhhhhhhhhhh</definedName>
    <definedName name="nbjhgy">[4]!nbjhgy</definedName>
    <definedName name="nbnbbnvbnvvcvbcvc">[4]!nbnbbnvbnvvcvbcvc</definedName>
    <definedName name="nbnbfders">[4]!nbnbfders</definedName>
    <definedName name="nbnvnbfgdsdfs">[4]!nbnvnbfgdsdfs</definedName>
    <definedName name="nbvbnfddddddddddddddddddd">[4]!nbvbnfddddddddddddddddddd</definedName>
    <definedName name="nbvgfhcf">[4]!nbvgfhcf</definedName>
    <definedName name="nbvgggggggggggggggggg" localSheetId="8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>[4]!nbvghfgdx</definedName>
    <definedName name="nfgjn">[4]!nfgjn</definedName>
    <definedName name="nghf">[4]!nghf</definedName>
    <definedName name="nghjk">[4]!nghjk</definedName>
    <definedName name="nhghfgfgf">[4]!nhghfgfgf</definedName>
    <definedName name="nhguy" localSheetId="8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>[4]!njhgyhjftxcdfxnkl</definedName>
    <definedName name="njhhhhhhhhhhhhhd">[4]!njhhhhhhhhhhhhhd</definedName>
    <definedName name="njkhgjhghfhg" localSheetId="8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>[4]!nkjgyuff</definedName>
    <definedName name="nmbhhhhhhhhhhhhhhhhhhhh">[4]!nmbhhhhhhhhhhhhhhhhhhhh</definedName>
    <definedName name="nmbnbnc">[4]!nmbnbnc</definedName>
    <definedName name="nmmbnbv">[4]!nmmbnbv</definedName>
    <definedName name="nnngggggggggggggggggggggggggg" localSheetId="8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npi">[2]MAIN!$F$1245:$AK$1245</definedName>
    <definedName name="NPVR">[2]MAIN!$D$1025</definedName>
    <definedName name="oiipiuojhkh">[4]!oiipiuojhkh</definedName>
    <definedName name="oijjjjjjjjjjjjjj" localSheetId="8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>[4]!oijnhvfgc</definedName>
    <definedName name="oikjjjjjjjjjjjjjjjjjjjjjjjj">[4]!oikjjjjjjjjjjjjjjjjjjjjjjjj</definedName>
    <definedName name="oikjkjjkn">[4]!oikjkjjkn</definedName>
    <definedName name="oikkkkkkkkkkkkkkkkkkkkkkk" localSheetId="8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8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[4]!oinunyg</definedName>
    <definedName name="oioiiuiuyofyyyyyyyyyyyyyyyyyyyyy">[4]!oioiiuiuyofyyyyyyyyyyyyyyyyyyyyy</definedName>
    <definedName name="oioiiuuuuuuuuuuuuuu">[4]!oioiiuuuuuuuuuuuuuu</definedName>
    <definedName name="oioiuiouiuyyt">[4]!oioiuiouiuyyt</definedName>
    <definedName name="oioouiui">[4]!oioouiui</definedName>
    <definedName name="oiougy">[4]!oiougy</definedName>
    <definedName name="oiouiuiyuyt">[4]!oiouiuiyuyt</definedName>
    <definedName name="oiouiuygyufg">[4]!oiouiuygyufg</definedName>
    <definedName name="oiuuyyyyyyyyyyyyyyy" localSheetId="8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8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[4]!ooiumuhggc</definedName>
    <definedName name="oooooo">[4]!oooooo</definedName>
    <definedName name="oopoooooooooooooooo" localSheetId="8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OTCST1">[2]MAIN!$A$200:$IV$200</definedName>
    <definedName name="OTCST2">[2]MAIN!$A$204:$IV$204</definedName>
    <definedName name="OTCST3">[2]MAIN!$A$229:$IV$229</definedName>
    <definedName name="OTHER_COST2">[2]MAIN!$A$204:$IV$204</definedName>
    <definedName name="OTHER_COST3">[2]MAIN!$A$228:$IV$229</definedName>
    <definedName name="OTHERCOST1">[2]MAIN!$A$200:$IV$200</definedName>
    <definedName name="p">[4]!p</definedName>
    <definedName name="PARAM1_1">#REF!</definedName>
    <definedName name="PARAM1_2">#REF!</definedName>
    <definedName name="PARAM2">#REF!</definedName>
    <definedName name="PARSENS1_1">[2]MAIN!$B$1344</definedName>
    <definedName name="PARSENS1_2">[2]MAIN!$C$1344</definedName>
    <definedName name="PARSENS2">[2]MAIN!$A$1355</definedName>
    <definedName name="pi">[2]MAIN!$F$16</definedName>
    <definedName name="poiuyfrts">[4]!poiuyfrts</definedName>
    <definedName name="popiiiiiiiiiiiiiiiiiii" localSheetId="8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>[4]!popiopoiioj</definedName>
    <definedName name="popipuiouiguyg">[4]!popipuiouiguyg</definedName>
    <definedName name="PostEE">[6]Параметры!$B$7</definedName>
    <definedName name="PostEEList">[6]Лист!$A$60</definedName>
    <definedName name="PostTE">[6]Лист!$B$281</definedName>
    <definedName name="PostTEList">[6]Лист!$A$280</definedName>
    <definedName name="pp">[4]!pp</definedName>
    <definedName name="pppp">[4]!pppp</definedName>
    <definedName name="PRINT_SENS">#REF!</definedName>
    <definedName name="PRO">[2]MAIN!#REF!</definedName>
    <definedName name="ProchPotrEE">[6]Параметры!$B$11</definedName>
    <definedName name="ProchPotrEEList">[6]Лист!$A$180</definedName>
    <definedName name="ProchPotrTE">[6]Лист!$B$331</definedName>
    <definedName name="ProchPotrTEList">[6]Лист!$A$330</definedName>
    <definedName name="PROD1">[2]MAIN!$A$65:$IV$66</definedName>
    <definedName name="PROD2">[2]MAIN!$A$68:$IV$69</definedName>
    <definedName name="project">[2]MAIN!$A$13</definedName>
    <definedName name="qq">[4]!qq</definedName>
    <definedName name="RAZMER1">#REF!</definedName>
    <definedName name="RAZMER2">#REF!</definedName>
    <definedName name="RAZMER3">#REF!</definedName>
    <definedName name="rdcfgffffffffffffff">[4]!rdcfgffffffffffffff</definedName>
    <definedName name="rdffffffffffff">[4]!rdffffffffffff</definedName>
    <definedName name="reddddddddddddddddd">[4]!reddddddddddddddddd</definedName>
    <definedName name="reeeeeeeeeeeeeeeeeee">[4]!reeeeeeeeeeeeeeeeeee</definedName>
    <definedName name="Rep_cur">[2]MAIN!$F$28</definedName>
    <definedName name="rererrrrrrrrrrrrrrrr">[4]!rererrrrrrrrrrrrrrrr</definedName>
    <definedName name="rerrrr">[4]!rerrrr</definedName>
    <definedName name="rerttryu" localSheetId="8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>[4]!retruiyi</definedName>
    <definedName name="retytttttttttttttttttt">[4]!retytttttttttttttttttt</definedName>
    <definedName name="revenues">[2]MAIN!$F$90:$AL$90</definedName>
    <definedName name="rhfgfh">[4]!rhfgfh</definedName>
    <definedName name="rr">[4]!rr</definedName>
    <definedName name="rrtdrdrdsf" localSheetId="8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>[4]!rrtget6</definedName>
    <definedName name="rt">[4]!rt</definedName>
    <definedName name="rtttttttt">[4]!rtttttttt</definedName>
    <definedName name="rtyuiuy">[4]!rtyuiuy</definedName>
    <definedName name="S1_" localSheetId="8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1">[2]MAIN!$A$146:$IV$150</definedName>
    <definedName name="SALAR2">[2]MAIN!$A$156:$IV$160</definedName>
    <definedName name="SALAR3">[2]MAIN!$A$166:$IV$170</definedName>
    <definedName name="SALAR4">[2]MAIN!$A$176:$IV$180</definedName>
    <definedName name="SAPBEXrevision" hidden="1">1</definedName>
    <definedName name="SAPBEXsysID" hidden="1">"PBW"</definedName>
    <definedName name="SAPBEXwbID" hidden="1">"41LHCA36MPF8BZ64S5013AAEB"</definedName>
    <definedName name="sdfdgfg">[4]!sdfdgfg</definedName>
    <definedName name="sdfdgfjhjk">[4]!sdfdgfjhjk</definedName>
    <definedName name="sdfdgghfj">[4]!sdfdgghfj</definedName>
    <definedName name="sdfgdfgj">[4]!sdfgdfgj</definedName>
    <definedName name="sdsdfsf">[4]!sdsdfsf</definedName>
    <definedName name="SENSTAB1">[2]MAIN!$A$1344:$C$1351</definedName>
    <definedName name="SENSTAB2">[2]MAIN!$A$1355:$H$1360</definedName>
    <definedName name="sfdfdghfj">[4]!sfdfdghfj</definedName>
    <definedName name="sfdfghfghj">[4]!sfdfghfghj</definedName>
    <definedName name="sfdgfdghj">[4]!sfdgfdghj</definedName>
    <definedName name="SKQnt">[6]Параметры!$B$4</definedName>
    <definedName name="SmetaList" localSheetId="8">[7]Лист!#REF!</definedName>
    <definedName name="SmetaList">[7]Лист!#REF!</definedName>
    <definedName name="social">[2]MAIN!$F$627:$AJ$627</definedName>
    <definedName name="SPAYB">[2]MAIN!$D$1000</definedName>
    <definedName name="SUMMBLOCK">[2]MAIN!$A$1211:$AL$1241</definedName>
    <definedName name="T1_" localSheetId="8">#REF!</definedName>
    <definedName name="T1_">#REF!</definedName>
    <definedName name="T2_">#REF!</definedName>
    <definedName name="Tab">[3]FES!#REF!</definedName>
    <definedName name="tab0">[2]MAIN!$A$13:$F$30</definedName>
    <definedName name="TABLE" localSheetId="1">'2'!#REF!</definedName>
    <definedName name="TABLE" localSheetId="2">'3'!#REF!</definedName>
    <definedName name="TABLE" localSheetId="3">'4'!#REF!</definedName>
    <definedName name="TABLE" localSheetId="4">'5'!#REF!</definedName>
    <definedName name="TABLE_2" localSheetId="1">'2'!#REF!</definedName>
    <definedName name="TABLE_2" localSheetId="2">'3'!#REF!</definedName>
    <definedName name="TABLE_2" localSheetId="3">'4'!#REF!</definedName>
    <definedName name="TABLE_2" localSheetId="4">'5'!#REF!</definedName>
    <definedName name="TAXE1">[2]MAIN!$A$641:$IV$646</definedName>
    <definedName name="TAXE2">[2]MAIN!$A$674:$IV$679</definedName>
    <definedName name="TESList">[6]Лист!$A$220</definedName>
    <definedName name="TESQnt">[6]Лист!$B$221</definedName>
    <definedName name="tfggggggggggggggg">[4]!tfggggggggggggggg</definedName>
    <definedName name="tfhgfhvfv">[4]!tfhgfhvfv</definedName>
    <definedName name="tfjhgjk">[4]!tfjhgjk</definedName>
    <definedName name="TOTWC">[2]MAIN!$C$1341</definedName>
    <definedName name="trffffffffffffffffffffff">[4]!trffffffffffffffffffffff</definedName>
    <definedName name="trfgffffffffffff">[4]!trfgffffffffffff</definedName>
    <definedName name="trfgffffffffffffffffff" localSheetId="8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>[4]!trtfffffffffffffffff</definedName>
    <definedName name="trttttttttttttttttttt" localSheetId="8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>[4]!trtyyyyyyyyyyyyyyyy</definedName>
    <definedName name="trygy">[4]!trygy</definedName>
    <definedName name="trytuy">[4]!trytuy</definedName>
    <definedName name="tryyyu">[4]!tryyyu</definedName>
    <definedName name="TUList">[6]Лист!$A$210</definedName>
    <definedName name="TUQnt">[6]Лист!$B$211</definedName>
    <definedName name="tyrctddfg">[4]!tyrctddfg</definedName>
    <definedName name="tyrttttttttttttt">[4]!tyrttttttttttttt</definedName>
    <definedName name="uhhhhhhhhhhhhhhhhh">[4]!uhhhhhhhhhhhhhhhhh</definedName>
    <definedName name="uhhjhjg">[4]!uhhjhjg</definedName>
    <definedName name="uhjhhhhhhhhhhhhh" localSheetId="8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>[4]!uhuyguftyf</definedName>
    <definedName name="uiyuyuy" localSheetId="8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>[4]!ujyhjggggggggggggggggggggg</definedName>
    <definedName name="uka">[4]!uka</definedName>
    <definedName name="unhjjjjjjjjjjjjjjjj">[4]!unhjjjjjjjjjjjjjjjj</definedName>
    <definedName name="uuuuuu">[4]!uuuuuu</definedName>
    <definedName name="uuuuuuuuuuuuuuuuu">[4]!uuuuuuuuuuuuuuuuu</definedName>
    <definedName name="uyttydfddfsdf">[4]!uyttydfddfsdf</definedName>
    <definedName name="uytytr" localSheetId="8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>[4]!uyughhhhhhhhhhhhhhhhhhhhhh</definedName>
    <definedName name="uyuhhhhhhhhhhhhhhhhh">[4]!uyuhhhhhhhhhhhhhhhhh</definedName>
    <definedName name="uyuiuhj">[4]!uyuiuhj</definedName>
    <definedName name="uyuiyuttyt" localSheetId="8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>[4]!uyuytuyfgh</definedName>
    <definedName name="uyyuttr" localSheetId="8" hidden="1">{#N/A,#N/A,TRUE,"Лист1";#N/A,#N/A,TRUE,"Лист2";#N/A,#N/A,TRUE,"Лист3"}</definedName>
    <definedName name="uyyuttr" hidden="1">{#N/A,#N/A,TRUE,"Лист1";#N/A,#N/A,TRUE,"Лист2";#N/A,#N/A,TRUE,"Лист3"}</definedName>
    <definedName name="VAT">[2]MAIN!$F$597</definedName>
    <definedName name="vbcvfgdfdsa">[4]!vbcvfgdfdsa</definedName>
    <definedName name="vbfffffffffffffff">[4]!vbfffffffffffffff</definedName>
    <definedName name="vbgffdds">[4]!vbgffdds</definedName>
    <definedName name="vbvvcxxxxxxxxxxxx">[4]!vbvvcxxxxxxxxxxxx</definedName>
    <definedName name="vccfddfsd">[4]!vccfddfsd</definedName>
    <definedName name="vcfdfs" localSheetId="8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>[4]!vcfffffffffffffff</definedName>
    <definedName name="vcffffffffffffffff">[4]!vcffffffffffffffff</definedName>
    <definedName name="vcfffffffffffffffffff">[4]!vcfffffffffffffffffff</definedName>
    <definedName name="vcffffffffffffffffffff">[4]!vcffffffffffffffffffff</definedName>
    <definedName name="vcfhg" localSheetId="8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8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[4]!vdfffffffffffffffffff</definedName>
    <definedName name="vffffffffffffffffffff">[4]!vffffffffffffffffffff</definedName>
    <definedName name="vfgfffffffffffffffff">[4]!vfgfffffffffffffffff</definedName>
    <definedName name="vghfgddfsdaas">[4]!vghfgddfsdaas</definedName>
    <definedName name="vvbnbv">[4]!vvbnbv</definedName>
    <definedName name="vvvffffffffffffffffff">[4]!vvvffffffffffffffffff</definedName>
    <definedName name="vvvv">[4]!vvvv</definedName>
    <definedName name="waddddddddddddddddddd" localSheetId="8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>[4]!wdsfdsssssssssssssssssss</definedName>
    <definedName name="werrytruy">[4]!werrytruy</definedName>
    <definedName name="wertryt">[4]!wertryt</definedName>
    <definedName name="wesddddddddddddddddd" localSheetId="8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>[4]!wetrtyruy</definedName>
    <definedName name="wrn.Сравнение._.с._.отраслями." localSheetId="8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>[4]!x</definedName>
    <definedName name="xcbvbnbm">[4]!xcbvbnbm</definedName>
    <definedName name="xcfdfdfffffffffffff">[4]!xcfdfdfffffffffffff</definedName>
    <definedName name="xdsfds">[4]!xdsfds</definedName>
    <definedName name="xvcbvcbn">[4]!xvcbvcbn</definedName>
    <definedName name="xvccvcbn">[4]!xvccvcbn</definedName>
    <definedName name="xzxsassssssssssssssss">[4]!xzxsassssssssssssssss</definedName>
    <definedName name="yfgdfdfffffffffffff" localSheetId="8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>[4]!yggfgffffffffff</definedName>
    <definedName name="yhiuyhiuyhi">[4]!yhiuyhiuyhi</definedName>
    <definedName name="yiujhuuuuuuuuuuuuuuuuu">[4]!yiujhuuuuuuuuuuuuuuuuu</definedName>
    <definedName name="yiuyiub">[4]!yiuyiub</definedName>
    <definedName name="ytgfgffffffffffffff">[4]!ytgfgffffffffffffff</definedName>
    <definedName name="ytghfgd">[4]!ytghfgd</definedName>
    <definedName name="ytghgggggggggggg">[4]!ytghgggggggggggg</definedName>
    <definedName name="ytouy">[4]!ytouy</definedName>
    <definedName name="yttttttttttttttt">[4]!yttttttttttttttt</definedName>
    <definedName name="ytttttttttttttttttttt" localSheetId="8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>[4]!ytuiytu</definedName>
    <definedName name="ytyggggggggggggggg" localSheetId="8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>[4]!yuo</definedName>
    <definedName name="yutghhhhhhhhhhhhhhhhhh">[4]!yutghhhhhhhhhhhhhhhhhh</definedName>
    <definedName name="yutyttry">[4]!yutyttry</definedName>
    <definedName name="yuuyjhg">[4]!yuuyjhg</definedName>
    <definedName name="zcxvcvcbvvn">[4]!zcxvcvcbvvn</definedName>
    <definedName name="А77">[8]Рейтинг!$A$14</definedName>
    <definedName name="АААААААА">[4]!АААААААА</definedName>
    <definedName name="ав">[4]!ав</definedName>
    <definedName name="ававпаврпв">[4]!ававпаврпв</definedName>
    <definedName name="аичавыукфцу">[4]!аичавыукфцу</definedName>
    <definedName name="ап">[4]!ап</definedName>
    <definedName name="апапарп">[4]!апапарп</definedName>
    <definedName name="аппячфы">[4]!аппячфы</definedName>
    <definedName name="Базовые">'[9]Производство электроэнергии'!$A$95</definedName>
    <definedName name="Бюджетные_электроэнергии">'[9]Производство электроэнергии'!$A$111</definedName>
    <definedName name="в23ё">[4]!в23ё</definedName>
    <definedName name="вв">[4]!вв</definedName>
    <definedName name="впававапв">[4]!впававапв</definedName>
    <definedName name="впавпапаарп">[4]!впавпапаарп</definedName>
    <definedName name="второй" localSheetId="8">#REF!</definedName>
    <definedName name="второй">#REF!</definedName>
    <definedName name="вуавпаорпл">[4]!вуавпаорпл</definedName>
    <definedName name="вуквпапрпорлд">[4]!вуквпапрпорлд</definedName>
    <definedName name="вуув" localSheetId="8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8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[4]!гггр</definedName>
    <definedName name="глнрлоророр">[4]!глнрлоророр</definedName>
    <definedName name="гнгепнапра" localSheetId="8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>[4]!гнгопропрппра</definedName>
    <definedName name="гнеорпопорпропр">[4]!гнеорпопорпропр</definedName>
    <definedName name="гннрпррапапв">[4]!гннрпррапапв</definedName>
    <definedName name="гнортимв">[4]!гнортимв</definedName>
    <definedName name="гнрпрпап">[4]!гнрпрпап</definedName>
    <definedName name="гороппрапа">[4]!гороппрапа</definedName>
    <definedName name="гошгрииапв">[4]!гошгрииапв</definedName>
    <definedName name="грприрцфв00ав98" localSheetId="8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[4]!гш</definedName>
    <definedName name="дгнмдш" localSheetId="8">#REF!</definedName>
    <definedName name="дгнмдш">#REF!</definedName>
    <definedName name="ддд">[4]!ддд</definedName>
    <definedName name="дллллоиммссч">[4]!дллллоиммссч</definedName>
    <definedName name="доли1">'[10]эл ст'!$A$368:$IV$368</definedName>
    <definedName name="Доход">#N/A</definedName>
    <definedName name="дшголлололол" localSheetId="8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>[4]!дшлгорормсм</definedName>
    <definedName name="дшлолоирмпр">[4]!дшлолоирмпр</definedName>
    <definedName name="дшшгргрп">[4]!дшшгргрп</definedName>
    <definedName name="дщ">[4]!дщ</definedName>
    <definedName name="дщл">[4]!дщл</definedName>
    <definedName name="еапапарорппис" localSheetId="8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>[4]!еапарпорпол</definedName>
    <definedName name="евапараорплор" localSheetId="8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>[4]!екваппрмрп</definedName>
    <definedName name="епке">[4]!епке</definedName>
    <definedName name="ЕТО">'[11]СВОДНАЯ(цветная)'!$Y$3:$Y$7</definedName>
    <definedName name="жддлолпраапва">[4]!жддлолпраапва</definedName>
    <definedName name="ждждлдлодл" localSheetId="8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>[4]!жздлдооррапав</definedName>
    <definedName name="жзлдолорапрв">[4]!жзлдолорапрв</definedName>
    <definedName name="_xlnm.Print_Titles" localSheetId="1">'2'!#REF!</definedName>
    <definedName name="_xlnm.Print_Titles" localSheetId="2">'3'!#REF!</definedName>
    <definedName name="_xlnm.Print_Titles" localSheetId="3">'4'!#REF!</definedName>
    <definedName name="_xlnm.Print_Titles" localSheetId="4">'5'!#REF!</definedName>
    <definedName name="_xlnm.Print_Titles">'[12]ИТОГИ  по Н,Р,Э,Q'!$A$2:$IV$4</definedName>
    <definedName name="ЗГАЭС">[4]!ЗГАЭС</definedName>
    <definedName name="зщ">[4]!зщ</definedName>
    <definedName name="зщдллоопн">[4]!зщдллоопн</definedName>
    <definedName name="зщзшщшггрса">[4]!зщзшщшггрса</definedName>
    <definedName name="зщщщшгрпаав" localSheetId="8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й">[4]!й</definedName>
    <definedName name="иеркаецуф">[4]!иеркаецуф</definedName>
    <definedName name="йй">[4]!йй</definedName>
    <definedName name="йййййййййййййййййййййййй">[4]!йййййййййййййййййййййййй</definedName>
    <definedName name="индцкавг98" localSheetId="8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'[13]Объекты 2010'!$B$7:$EA$320</definedName>
    <definedName name="кв3">[4]!кв3</definedName>
    <definedName name="квартал">[4]!квартал</definedName>
    <definedName name="квырмпро">[4]!квырмпро</definedName>
    <definedName name="ке">[4]!ке</definedName>
    <definedName name="кеппппппппппп" localSheetId="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 localSheetId="8">#REF!</definedName>
    <definedName name="коэф1">#REF!</definedName>
    <definedName name="коэф2" localSheetId="8">#REF!</definedName>
    <definedName name="коэф2">#REF!</definedName>
    <definedName name="коэф3" localSheetId="8">#REF!</definedName>
    <definedName name="коэф3">#REF!</definedName>
    <definedName name="коэф4">#REF!</definedName>
    <definedName name="л">[4]!л</definedName>
    <definedName name="лдлдолорар" localSheetId="8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[4]!лдолрорваы</definedName>
    <definedName name="лена">[4]!лена</definedName>
    <definedName name="лод">[4]!лод</definedName>
    <definedName name="лоититмим">[4]!лоититмим</definedName>
    <definedName name="лолориапвав">[4]!лолориапвав</definedName>
    <definedName name="лолорорм">[4]!лолорорм</definedName>
    <definedName name="лолроипр">[4]!лолроипр</definedName>
    <definedName name="лоорпрсмп">[4]!лоорпрсмп</definedName>
    <definedName name="лоролропапрапапа">[4]!лоролропапрапапа</definedName>
    <definedName name="лорпрмисмсчвааычв">[4]!лорпрмисмсчвааычв</definedName>
    <definedName name="лорроакеа">[4]!лорроакеа</definedName>
    <definedName name="лщд">[4]!лщд</definedName>
    <definedName name="льтоиаваыв">[4]!льтоиаваыв</definedName>
    <definedName name="мииапвв">[4]!мииапвв</definedName>
    <definedName name="мпрмрпсвачва">[4]!мпрмрпсвачва</definedName>
    <definedName name="мсапваывф">[4]!мсапваывф</definedName>
    <definedName name="мсчвавя">[4]!мсчвавя</definedName>
    <definedName name="мым">[4]!мым</definedName>
    <definedName name="н78е">[4]!н78е</definedName>
    <definedName name="Нав_ПерТЭ">[6]навигация!$A$39</definedName>
    <definedName name="Нав_ПерЭЭ">[6]навигация!$A$13</definedName>
    <definedName name="Нав_ПрТЭ">[6]навигация!$A$21</definedName>
    <definedName name="Нав_ПрЭЭ">[6]навигация!$A$4</definedName>
    <definedName name="Нав_Финансы">[6]навигация!$A$41</definedName>
    <definedName name="Нав_Финансы2">[7]навигация!#REF!</definedName>
    <definedName name="наропплон">[4]!наропплон</definedName>
    <definedName name="Население">'[9]Производство электроэнергии'!$A$124</definedName>
    <definedName name="нгеинсцф">[4]!нгеинсцф</definedName>
    <definedName name="нгневаапор" localSheetId="8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>[4]!неамрр</definedName>
    <definedName name="нееегенененененененннене">[4]!нееегенененененененннене</definedName>
    <definedName name="ненрпп">[4]!ненрпп</definedName>
    <definedName name="Нояб">[4]!Нояб</definedName>
    <definedName name="Ноябрь">[4]!Ноябрь</definedName>
    <definedName name="нпангаклга" localSheetId="8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1">'2'!$A$1:$DA$14</definedName>
    <definedName name="_xlnm.Print_Area" localSheetId="2">'3'!$A$1:$DA$19</definedName>
    <definedName name="_xlnm.Print_Area" localSheetId="3">'4'!$A$1:$DB$42</definedName>
    <definedName name="_xlnm.Print_Area" localSheetId="4">'5'!$A$1:$DA$32</definedName>
    <definedName name="_xlnm.Print_Area" localSheetId="8">'прил 2'!$A$1:$F$80</definedName>
    <definedName name="огпорпарсм">[4]!огпорпарсм</definedName>
    <definedName name="огтитимисмсмсва">[4]!огтитимисмсмсва</definedName>
    <definedName name="олдолтрь">[4]!олдолтрь</definedName>
    <definedName name="оллртимиава" localSheetId="8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>[4]!олльимсаы</definedName>
    <definedName name="олорлрорит">[4]!олорлрорит</definedName>
    <definedName name="олритиимсмсв">[4]!олритиимсмсв</definedName>
    <definedName name="олрлпо">[4]!олрлпо</definedName>
    <definedName name="олрриоипрм">[4]!олрриоипрм</definedName>
    <definedName name="омимимсмис">[4]!омимимсмис</definedName>
    <definedName name="опропроапрапра">[4]!опропроапрапра</definedName>
    <definedName name="опрорпрпапрапрвава">[4]!опрорпрпапрапрвава</definedName>
    <definedName name="ОптРынок">'[6]Производство электроэнергии'!$A$23</definedName>
    <definedName name="орлопапвпа">[4]!орлопапвпа</definedName>
    <definedName name="орлороррлоорпапа" localSheetId="8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>[4]!оро</definedName>
    <definedName name="ороиприм">[4]!ороиприм</definedName>
    <definedName name="оролпррпап">[4]!оролпррпап</definedName>
    <definedName name="ороорправ" localSheetId="8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>[4]!оропоненеваыв</definedName>
    <definedName name="оропорап">[4]!оропорап</definedName>
    <definedName name="оропрпрарпвч">[4]!оропрпрарпвч</definedName>
    <definedName name="орорпрапвкак">[4]!орорпрапвкак</definedName>
    <definedName name="орорпропмрм">[4]!орорпропмрм</definedName>
    <definedName name="орорпрпакв">[4]!орорпрпакв</definedName>
    <definedName name="орортитмимисаа">[4]!орортитмимисаа</definedName>
    <definedName name="орпорпаерв">[4]!орпорпаерв</definedName>
    <definedName name="орпрмпачвуыф">[4]!орпрмпачвуыф</definedName>
    <definedName name="орримими">[4]!орримими</definedName>
    <definedName name="памсмчвв" localSheetId="8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>[4]!паопаорпопро</definedName>
    <definedName name="папаорпрпрпр" localSheetId="8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>[4]!парапаорар</definedName>
    <definedName name="первый" localSheetId="8">#REF!</definedName>
    <definedName name="первый">#REF!</definedName>
    <definedName name="Период">#REF!</definedName>
    <definedName name="пиримисмсмчсы">[4]!пиримисмсмчсы</definedName>
    <definedName name="план56">[4]!план56</definedName>
    <definedName name="пмисмсмсчсмч">[4]!пмисмсмсчсмч</definedName>
    <definedName name="ПотериТЭ">[6]Лист!$A$400</definedName>
    <definedName name="пппп">[4]!пппп</definedName>
    <definedName name="пр">[4]!пр</definedName>
    <definedName name="праорарпвкав">[4]!праорарпвкав</definedName>
    <definedName name="прибыль3" localSheetId="8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hidden="1">'[1]на 1 тут'!#REF!</definedName>
    <definedName name="про">[4]!про</definedName>
    <definedName name="пропорпшгршг">[4]!пропорпшгршг</definedName>
    <definedName name="Проц1">[2]MAIN!$F$186</definedName>
    <definedName name="ПроцИзПр1">[2]MAIN!$F$188</definedName>
    <definedName name="Прочие_электроэнергии">'[9]Производство электроэнергии'!$A$132</definedName>
    <definedName name="прпрапапвавав">[4]!прпрапапвавав</definedName>
    <definedName name="прпропорпрпр" localSheetId="8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>[4]!прпропрпрпорп</definedName>
    <definedName name="пррпрпрпорпроп">[4]!пррпрпрпорпроп</definedName>
    <definedName name="рапмапыввя">[4]!рапмапыввя</definedName>
    <definedName name="рис1" localSheetId="8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>[4]!ркенвапапрарп</definedName>
    <definedName name="рмпп">[4]!рмпп</definedName>
    <definedName name="ролрпраправ">[4]!ролрпраправ</definedName>
    <definedName name="роо">[4]!роо</definedName>
    <definedName name="роорпрпваы">[4]!роорпрпваы</definedName>
    <definedName name="ропопопмо">[4]!ропопопмо</definedName>
    <definedName name="ропор">[4]!ропор</definedName>
    <definedName name="рортимсчвы" localSheetId="8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>[4]!рпарпапрап</definedName>
    <definedName name="рпплордлпава">[4]!рпплордлпава</definedName>
    <definedName name="рпрпмимимссмваы">[4]!рпрпмимимссмваы</definedName>
    <definedName name="ррапав" localSheetId="8" hidden="1">{#N/A,#N/A,TRUE,"Лист1";#N/A,#N/A,TRUE,"Лист2";#N/A,#N/A,TRUE,"Лист3"}</definedName>
    <definedName name="ррапав" hidden="1">{#N/A,#N/A,TRUE,"Лист1";#N/A,#N/A,TRUE,"Лист2";#N/A,#N/A,TRUE,"Лист3"}</definedName>
    <definedName name="с">[4]!с</definedName>
    <definedName name="СальдоПереток">'[6]Производство электроэнергии'!$A$38</definedName>
    <definedName name="сапвпавапвапвп">[4]!сапвпавапвапвп</definedName>
    <definedName name="Собст">'[10]эл ст'!$A$360:$IV$360</definedName>
    <definedName name="Собств">'[10]эл ст'!$A$369:$IV$369</definedName>
    <definedName name="сс">[4]!сс</definedName>
    <definedName name="сссс">[4]!сссс</definedName>
    <definedName name="ссы">[4]!ссы</definedName>
    <definedName name="СтНПр1">[2]MAIN!$F$180</definedName>
    <definedName name="Стр_Кот">[6]структура!$A$38</definedName>
    <definedName name="Стр_ПерТЭ">[6]структура!$A$48</definedName>
    <definedName name="Стр_ПерЭЭ">[6]структура!$A$16</definedName>
    <definedName name="Стр_ПрТЭ">[6]структура!$A$26</definedName>
    <definedName name="Стр_ПрЭЭ">[6]структура!$A$5</definedName>
    <definedName name="Стр_ТЭС">[6]структура!$A$32</definedName>
    <definedName name="Стр_Финансы">[6]структура!$A$84</definedName>
    <definedName name="Стр_Финансы2">[6]структура!$A$49</definedName>
    <definedName name="т11всего_1">[6]Т11!$B$38</definedName>
    <definedName name="т11всего_2">[6]Т11!$B$69</definedName>
    <definedName name="т12п1_1">[7]Т12!$A$10</definedName>
    <definedName name="т12п1_2">[7]Т12!$A$22</definedName>
    <definedName name="т12п2_1">[7]Т12!$A$15</definedName>
    <definedName name="т12п2_2">[7]Т12!$A$27</definedName>
    <definedName name="т19.1п16">'[6]Т19.1'!$B$39</definedName>
    <definedName name="т1п15">[6]Т1!$B$36</definedName>
    <definedName name="т2п11">[6]Т2!$B$42</definedName>
    <definedName name="т2п12">[6]Т2!$B$47</definedName>
    <definedName name="т2п13">[6]Т2!$B$48</definedName>
    <definedName name="т3итого">[6]Т3!$B$31</definedName>
    <definedName name="т3п3" localSheetId="8">[7]Т3!#REF!</definedName>
    <definedName name="т3п3">[7]Т3!#REF!</definedName>
    <definedName name="т6п5_1">[6]Т6!$B$12</definedName>
    <definedName name="т6п5_2">[6]Т6!$B$18</definedName>
    <definedName name="т7п4_1">[6]Т7!$B$20</definedName>
    <definedName name="т7п4_2">[6]Т7!$B$37</definedName>
    <definedName name="т7п5_1">[6]Т7!$B$22</definedName>
    <definedName name="т7п5_2">[6]Т7!$B$39</definedName>
    <definedName name="т7п6_1">[6]Т7!$B$25</definedName>
    <definedName name="т7п6_2">[6]Т7!$B$42</definedName>
    <definedName name="т8п1">[6]Т8!$B$8</definedName>
    <definedName name="тп" localSheetId="8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'[14]НВВ утв тарифы'!$H$17</definedName>
    <definedName name="третий" localSheetId="8">#REF!</definedName>
    <definedName name="третий">#REF!</definedName>
    <definedName name="у">[4]!у</definedName>
    <definedName name="у1">[4]!у1</definedName>
    <definedName name="ук">[4]!ук</definedName>
    <definedName name="укеееукеееееееееееееее" localSheetId="8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8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[4]!УФ</definedName>
    <definedName name="уыавыапвпаворорол" localSheetId="8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>[4]!уываываывыпавыа</definedName>
    <definedName name="Филиал" localSheetId="8">#REF!</definedName>
    <definedName name="Филиал">#REF!</definedName>
    <definedName name="фф">[4]!фф</definedName>
    <definedName name="хэзббббшоолп">[4]!хэзббббшоолп</definedName>
    <definedName name="ц">[4]!ц</definedName>
    <definedName name="ц1">[4]!ц1</definedName>
    <definedName name="цу">[4]!цу</definedName>
    <definedName name="цуа">[4]!цуа</definedName>
    <definedName name="чавапвапвавав">[4]!чавапвапвавав</definedName>
    <definedName name="четвертый" localSheetId="8">#REF!</definedName>
    <definedName name="четвертый">#REF!</definedName>
    <definedName name="ЧП1">[2]MAIN!$F$396</definedName>
    <definedName name="Ш_СК">[6]Ш_Передача_ЭЭ!$A$79</definedName>
    <definedName name="шглоьотьиита">[4]!шглоьотьиита</definedName>
    <definedName name="шгншногрппрпр">[4]!шгншногрппрпр</definedName>
    <definedName name="шгоропропрап">[4]!шгоропропрап</definedName>
    <definedName name="шгшрормпавкаы" localSheetId="8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>[4]!шгшщгшпрпрапа</definedName>
    <definedName name="шоапвваыаыф" localSheetId="8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>[4]!шогоитими</definedName>
    <definedName name="шооитиаавч" localSheetId="8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>[4]!шорорррпапра</definedName>
    <definedName name="шоррпвакуф">[4]!шоррпвакуф</definedName>
    <definedName name="шорттисаавч">[4]!шорттисаавч</definedName>
    <definedName name="штлоррпммпачв">[4]!штлоррпммпачв</definedName>
    <definedName name="шшшшшо">[4]!шшшшшо</definedName>
    <definedName name="шщщолоорпап">[4]!шщщолоорпап</definedName>
    <definedName name="щ">[4]!щ</definedName>
    <definedName name="щзллторм">[4]!щзллторм</definedName>
    <definedName name="щзшщлщщошшо">[4]!щзшщлщщошшо</definedName>
    <definedName name="щзшщшщгшроо">[4]!щзшщшщгшроо</definedName>
    <definedName name="щоллопекв">[4]!щоллопекв</definedName>
    <definedName name="щомекв">[4]!щомекв</definedName>
    <definedName name="щшгшиекв">[4]!щшгшиекв</definedName>
    <definedName name="щшлдолрорми" localSheetId="8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>[4]!щшолььти</definedName>
    <definedName name="щшропса">[4]!щшропса</definedName>
    <definedName name="щшщгтропрпвс">[4]!щшщгтропрпвс</definedName>
    <definedName name="ыв">[4]!ыв</definedName>
    <definedName name="ывявапро">[4]!ывявапро</definedName>
    <definedName name="ыуаы" localSheetId="8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[4]!ыыыы</definedName>
    <definedName name="ЬЬ">'[15]ИТОГИ  по Н,Р,Э,Q'!$A$2:$IV$4</definedName>
    <definedName name="юбьбютьи" localSheetId="8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8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[4]!я</definedName>
    <definedName name="яя">[4]!яя</definedName>
    <definedName name="яяя">[4]!яяя</definedName>
  </definedNames>
  <calcPr calcId="152511"/>
</workbook>
</file>

<file path=xl/calcChain.xml><?xml version="1.0" encoding="utf-8"?>
<calcChain xmlns="http://schemas.openxmlformats.org/spreadsheetml/2006/main">
  <c r="CD31" i="4" l="1"/>
  <c r="F41" i="9" l="1"/>
  <c r="F40" i="9"/>
  <c r="F39" i="9"/>
  <c r="F38" i="9"/>
  <c r="F16" i="9"/>
  <c r="F15" i="9"/>
  <c r="F13" i="9"/>
  <c r="F14" i="9" l="1"/>
  <c r="G466" i="15" l="1"/>
  <c r="F466" i="15"/>
  <c r="E466" i="15"/>
  <c r="G430" i="15"/>
  <c r="F430" i="15"/>
  <c r="E430" i="15"/>
  <c r="G215" i="15"/>
  <c r="F215" i="15"/>
  <c r="E215" i="15"/>
  <c r="G168" i="15"/>
  <c r="F168" i="15"/>
  <c r="E168" i="15"/>
  <c r="G161" i="15"/>
  <c r="F161" i="15"/>
  <c r="G155" i="15"/>
  <c r="F155" i="15"/>
  <c r="G154" i="15"/>
  <c r="G153" i="15" s="1"/>
  <c r="F154" i="15"/>
  <c r="F153" i="15" s="1"/>
  <c r="E153" i="15"/>
  <c r="G152" i="15"/>
  <c r="G151" i="15"/>
  <c r="F151" i="15"/>
  <c r="E151" i="15"/>
  <c r="G150" i="15"/>
  <c r="G149" i="15"/>
  <c r="G148" i="15"/>
  <c r="G147" i="15"/>
  <c r="G146" i="15"/>
  <c r="G145" i="15"/>
  <c r="G143" i="15" s="1"/>
  <c r="G144" i="15"/>
  <c r="F143" i="15"/>
  <c r="E143" i="15"/>
  <c r="G142" i="15"/>
  <c r="G141" i="15"/>
  <c r="F141" i="15"/>
  <c r="F136" i="15" s="1"/>
  <c r="E141" i="15"/>
  <c r="G129" i="15"/>
  <c r="F129" i="15"/>
  <c r="E129" i="15"/>
  <c r="E128" i="15"/>
  <c r="E127" i="15"/>
  <c r="E126" i="15" s="1"/>
  <c r="G126" i="15"/>
  <c r="F126" i="15"/>
  <c r="G124" i="15"/>
  <c r="F124" i="15"/>
  <c r="E124" i="15"/>
  <c r="G122" i="15"/>
  <c r="F122" i="15"/>
  <c r="E122" i="15"/>
  <c r="E121" i="15"/>
  <c r="E120" i="15" s="1"/>
  <c r="G120" i="15"/>
  <c r="F120" i="15"/>
  <c r="E116" i="15"/>
  <c r="E115" i="15" s="1"/>
  <c r="G115" i="15"/>
  <c r="F115" i="15"/>
  <c r="G108" i="15"/>
  <c r="G105" i="15" s="1"/>
  <c r="F105" i="15"/>
  <c r="E105" i="15"/>
  <c r="G104" i="15"/>
  <c r="G101" i="15" s="1"/>
  <c r="G103" i="15"/>
  <c r="F101" i="15"/>
  <c r="E101" i="15"/>
  <c r="G99" i="15"/>
  <c r="F99" i="15"/>
  <c r="E99" i="15"/>
  <c r="G95" i="15"/>
  <c r="G94" i="15"/>
  <c r="F93" i="15"/>
  <c r="E93" i="15"/>
  <c r="G92" i="15"/>
  <c r="G91" i="15" s="1"/>
  <c r="E92" i="15"/>
  <c r="E91" i="15" s="1"/>
  <c r="F91" i="15"/>
  <c r="G90" i="15"/>
  <c r="E90" i="15"/>
  <c r="E86" i="15" s="1"/>
  <c r="G89" i="15"/>
  <c r="E89" i="15"/>
  <c r="G87" i="15"/>
  <c r="F86" i="15"/>
  <c r="G81" i="15"/>
  <c r="E81" i="15"/>
  <c r="G80" i="15"/>
  <c r="G79" i="15" s="1"/>
  <c r="E80" i="15"/>
  <c r="E79" i="15" s="1"/>
  <c r="F79" i="15"/>
  <c r="G77" i="15"/>
  <c r="G76" i="15" s="1"/>
  <c r="E77" i="15"/>
  <c r="E76" i="15" s="1"/>
  <c r="F76" i="15"/>
  <c r="G75" i="15"/>
  <c r="E75" i="15"/>
  <c r="G74" i="15"/>
  <c r="E74" i="15"/>
  <c r="G73" i="15"/>
  <c r="G72" i="15" s="1"/>
  <c r="E73" i="15"/>
  <c r="E72" i="15" s="1"/>
  <c r="F72" i="15"/>
  <c r="G71" i="15"/>
  <c r="E71" i="15"/>
  <c r="G70" i="15"/>
  <c r="E70" i="15"/>
  <c r="G69" i="15"/>
  <c r="F69" i="15"/>
  <c r="G68" i="15"/>
  <c r="E68" i="15"/>
  <c r="G67" i="15"/>
  <c r="G66" i="15" s="1"/>
  <c r="E67" i="15"/>
  <c r="E66" i="15" s="1"/>
  <c r="F66" i="15"/>
  <c r="G65" i="15"/>
  <c r="E65" i="15"/>
  <c r="G64" i="15"/>
  <c r="E64" i="15"/>
  <c r="G63" i="15"/>
  <c r="E63" i="15"/>
  <c r="G62" i="15"/>
  <c r="E62" i="15"/>
  <c r="G61" i="15"/>
  <c r="E61" i="15"/>
  <c r="G60" i="15"/>
  <c r="E60" i="15"/>
  <c r="G59" i="15"/>
  <c r="E59" i="15"/>
  <c r="G58" i="15"/>
  <c r="E58" i="15"/>
  <c r="G57" i="15"/>
  <c r="E57" i="15"/>
  <c r="G56" i="15"/>
  <c r="E56" i="15"/>
  <c r="G55" i="15"/>
  <c r="E55" i="15"/>
  <c r="G54" i="15"/>
  <c r="E54" i="15"/>
  <c r="F53" i="15"/>
  <c r="G50" i="15"/>
  <c r="G49" i="15" s="1"/>
  <c r="E50" i="15"/>
  <c r="F49" i="15"/>
  <c r="E49" i="15"/>
  <c r="G37" i="15"/>
  <c r="G36" i="15" s="1"/>
  <c r="F36" i="15"/>
  <c r="E36" i="15"/>
  <c r="G34" i="15"/>
  <c r="F34" i="15"/>
  <c r="E34" i="15"/>
  <c r="G29" i="15"/>
  <c r="F29" i="15"/>
  <c r="E29" i="15"/>
  <c r="G14" i="15"/>
  <c r="G12" i="15"/>
  <c r="F12" i="15"/>
  <c r="E12" i="15"/>
  <c r="E6" i="15" l="1"/>
  <c r="F43" i="15"/>
  <c r="E53" i="15"/>
  <c r="E43" i="15" s="1"/>
  <c r="E69" i="15"/>
  <c r="E165" i="15"/>
  <c r="G53" i="15"/>
  <c r="G86" i="15"/>
  <c r="F165" i="15"/>
  <c r="E136" i="15"/>
  <c r="G165" i="15"/>
  <c r="F6" i="15"/>
  <c r="G93" i="15"/>
  <c r="G43" i="15" s="1"/>
  <c r="G6" i="15"/>
  <c r="G136" i="15"/>
  <c r="G375" i="11" l="1"/>
  <c r="F375" i="11"/>
  <c r="E375" i="11"/>
  <c r="G330" i="11"/>
  <c r="F330" i="11"/>
  <c r="E330" i="11"/>
  <c r="G275" i="11"/>
  <c r="F275" i="11"/>
  <c r="E275" i="11"/>
  <c r="G259" i="11"/>
  <c r="F259" i="11"/>
  <c r="F256" i="11" s="1"/>
  <c r="E259" i="11"/>
  <c r="E256" i="11" s="1"/>
  <c r="G252" i="11"/>
  <c r="F252" i="11"/>
  <c r="G245" i="11"/>
  <c r="F245" i="11"/>
  <c r="E245" i="11"/>
  <c r="G242" i="11"/>
  <c r="F242" i="11"/>
  <c r="E242" i="11"/>
  <c r="G240" i="11"/>
  <c r="F240" i="11"/>
  <c r="E240" i="11"/>
  <c r="G231" i="11"/>
  <c r="F231" i="11"/>
  <c r="E231" i="11"/>
  <c r="E219" i="11" s="1"/>
  <c r="G228" i="11"/>
  <c r="F228" i="11"/>
  <c r="E228" i="11"/>
  <c r="G224" i="11"/>
  <c r="F224" i="11"/>
  <c r="F219" i="11" s="1"/>
  <c r="E224" i="11"/>
  <c r="G211" i="11"/>
  <c r="F211" i="11"/>
  <c r="E211" i="11"/>
  <c r="G210" i="11"/>
  <c r="G209" i="11" s="1"/>
  <c r="F209" i="11"/>
  <c r="E209" i="11"/>
  <c r="G208" i="11"/>
  <c r="G207" i="11" s="1"/>
  <c r="F207" i="11"/>
  <c r="E207" i="11"/>
  <c r="G206" i="11"/>
  <c r="G205" i="11" s="1"/>
  <c r="F205" i="11"/>
  <c r="E205" i="11"/>
  <c r="G200" i="11"/>
  <c r="F200" i="11"/>
  <c r="E200" i="11"/>
  <c r="G199" i="11"/>
  <c r="G198" i="11"/>
  <c r="G197" i="11" s="1"/>
  <c r="F197" i="11"/>
  <c r="E197" i="11"/>
  <c r="G194" i="11"/>
  <c r="F194" i="11"/>
  <c r="E194" i="11"/>
  <c r="G193" i="11"/>
  <c r="G192" i="11"/>
  <c r="G191" i="11" s="1"/>
  <c r="F191" i="11"/>
  <c r="E191" i="11"/>
  <c r="G190" i="11"/>
  <c r="G189" i="11" s="1"/>
  <c r="F189" i="11"/>
  <c r="E189" i="11"/>
  <c r="G188" i="11"/>
  <c r="G187" i="11" s="1"/>
  <c r="F187" i="11"/>
  <c r="E187" i="11"/>
  <c r="G183" i="11"/>
  <c r="F183" i="11"/>
  <c r="E183" i="11"/>
  <c r="G180" i="11"/>
  <c r="G178" i="11"/>
  <c r="G177" i="11" s="1"/>
  <c r="F177" i="11"/>
  <c r="E177" i="11"/>
  <c r="G175" i="11"/>
  <c r="G174" i="11"/>
  <c r="G173" i="11"/>
  <c r="G172" i="11"/>
  <c r="G171" i="11"/>
  <c r="G170" i="11"/>
  <c r="G168" i="11"/>
  <c r="G164" i="11"/>
  <c r="G161" i="11" s="1"/>
  <c r="F161" i="11"/>
  <c r="E161" i="11"/>
  <c r="G156" i="11"/>
  <c r="G153" i="11" s="1"/>
  <c r="F153" i="11"/>
  <c r="E153" i="11"/>
  <c r="G152" i="11"/>
  <c r="G151" i="11" s="1"/>
  <c r="F151" i="11"/>
  <c r="E151" i="11"/>
  <c r="G148" i="11"/>
  <c r="F148" i="11"/>
  <c r="E148" i="11"/>
  <c r="G146" i="11"/>
  <c r="F146" i="11"/>
  <c r="E146" i="11"/>
  <c r="G144" i="11"/>
  <c r="F144" i="11"/>
  <c r="E144" i="11"/>
  <c r="G142" i="11"/>
  <c r="F142" i="11"/>
  <c r="E142" i="11"/>
  <c r="G140" i="11"/>
  <c r="G139" i="11"/>
  <c r="F136" i="11"/>
  <c r="E136" i="11"/>
  <c r="G135" i="11"/>
  <c r="G133" i="11" s="1"/>
  <c r="F133" i="11"/>
  <c r="E133" i="11"/>
  <c r="G128" i="11"/>
  <c r="F128" i="11"/>
  <c r="E128" i="11"/>
  <c r="G125" i="11"/>
  <c r="F125" i="11"/>
  <c r="E125" i="11"/>
  <c r="G122" i="11"/>
  <c r="F122" i="11"/>
  <c r="E122" i="11"/>
  <c r="G121" i="11"/>
  <c r="G120" i="11" s="1"/>
  <c r="F120" i="11"/>
  <c r="E120" i="11"/>
  <c r="G119" i="11"/>
  <c r="G118" i="11"/>
  <c r="G117" i="11"/>
  <c r="G114" i="11"/>
  <c r="G112" i="11" s="1"/>
  <c r="G113" i="11"/>
  <c r="E113" i="11"/>
  <c r="E112" i="11" s="1"/>
  <c r="F112" i="11"/>
  <c r="G111" i="11"/>
  <c r="G108" i="11" s="1"/>
  <c r="F108" i="11"/>
  <c r="E108" i="11"/>
  <c r="G98" i="11"/>
  <c r="F98" i="11"/>
  <c r="E98" i="11"/>
  <c r="G96" i="11"/>
  <c r="G87" i="11"/>
  <c r="G86" i="11"/>
  <c r="G85" i="11"/>
  <c r="G83" i="11"/>
  <c r="G81" i="11"/>
  <c r="F80" i="11"/>
  <c r="E80" i="11"/>
  <c r="G73" i="11"/>
  <c r="G69" i="11"/>
  <c r="F69" i="11"/>
  <c r="E69" i="11"/>
  <c r="G67" i="11"/>
  <c r="F67" i="11"/>
  <c r="E67" i="11"/>
  <c r="G66" i="11"/>
  <c r="G64" i="11"/>
  <c r="F64" i="11"/>
  <c r="E64" i="11"/>
  <c r="G56" i="11"/>
  <c r="F56" i="11"/>
  <c r="E56" i="11"/>
  <c r="G50" i="11"/>
  <c r="F50" i="11"/>
  <c r="E50" i="11"/>
  <c r="G48" i="11"/>
  <c r="F48" i="11"/>
  <c r="E48" i="11"/>
  <c r="G40" i="11"/>
  <c r="F40" i="11"/>
  <c r="E40" i="11"/>
  <c r="G35" i="11"/>
  <c r="G12" i="11" s="1"/>
  <c r="F12" i="11"/>
  <c r="E12" i="11"/>
  <c r="G6" i="11" l="1"/>
  <c r="E6" i="11"/>
  <c r="G80" i="11"/>
  <c r="G58" i="11" s="1"/>
  <c r="G136" i="11"/>
  <c r="G256" i="11"/>
  <c r="F58" i="11"/>
  <c r="G219" i="11"/>
  <c r="F6" i="11"/>
  <c r="E58" i="11"/>
  <c r="F173" i="14" l="1"/>
  <c r="G173" i="14"/>
  <c r="G364" i="14" l="1"/>
  <c r="F364" i="14"/>
  <c r="E364" i="14"/>
  <c r="G214" i="14"/>
  <c r="G205" i="14" s="1"/>
  <c r="F214" i="14"/>
  <c r="E214" i="14"/>
  <c r="G208" i="14"/>
  <c r="F208" i="14"/>
  <c r="E208" i="14"/>
  <c r="G201" i="14"/>
  <c r="F201" i="14"/>
  <c r="G194" i="14"/>
  <c r="G193" i="14" s="1"/>
  <c r="F193" i="14"/>
  <c r="E193" i="14"/>
  <c r="G192" i="14"/>
  <c r="G191" i="14"/>
  <c r="F191" i="14"/>
  <c r="E191" i="14"/>
  <c r="G190" i="14"/>
  <c r="G189" i="14"/>
  <c r="F189" i="14"/>
  <c r="E189" i="14"/>
  <c r="G188" i="14"/>
  <c r="G187" i="14"/>
  <c r="F187" i="14"/>
  <c r="E187" i="14"/>
  <c r="E182" i="14" s="1"/>
  <c r="G176" i="14"/>
  <c r="G175" i="14" s="1"/>
  <c r="F175" i="14"/>
  <c r="E175" i="14"/>
  <c r="E173" i="14"/>
  <c r="G171" i="14"/>
  <c r="F171" i="14"/>
  <c r="E171" i="14"/>
  <c r="G169" i="14"/>
  <c r="F169" i="14"/>
  <c r="E169" i="14"/>
  <c r="G167" i="14"/>
  <c r="F167" i="14"/>
  <c r="E167" i="14"/>
  <c r="G165" i="14"/>
  <c r="F165" i="14"/>
  <c r="E165" i="14"/>
  <c r="G163" i="14"/>
  <c r="F163" i="14"/>
  <c r="E163" i="14"/>
  <c r="G159" i="14"/>
  <c r="F159" i="14"/>
  <c r="E159" i="14"/>
  <c r="G152" i="14"/>
  <c r="F152" i="14"/>
  <c r="E152" i="14"/>
  <c r="G150" i="14"/>
  <c r="G148" i="14"/>
  <c r="G145" i="14"/>
  <c r="G144" i="14"/>
  <c r="F143" i="14"/>
  <c r="E143" i="14"/>
  <c r="G133" i="14"/>
  <c r="F133" i="14"/>
  <c r="E133" i="14"/>
  <c r="G126" i="14"/>
  <c r="F126" i="14"/>
  <c r="E126" i="14"/>
  <c r="G110" i="14"/>
  <c r="F110" i="14"/>
  <c r="E110" i="14"/>
  <c r="G107" i="14"/>
  <c r="F107" i="14"/>
  <c r="E107" i="14"/>
  <c r="G101" i="14"/>
  <c r="G99" i="14"/>
  <c r="G97" i="14"/>
  <c r="F90" i="14"/>
  <c r="E90" i="14"/>
  <c r="G88" i="14"/>
  <c r="F88" i="14"/>
  <c r="E88" i="14"/>
  <c r="G86" i="14"/>
  <c r="F86" i="14"/>
  <c r="E86" i="14"/>
  <c r="G83" i="14"/>
  <c r="F83" i="14"/>
  <c r="E83" i="14"/>
  <c r="G78" i="14"/>
  <c r="F78" i="14"/>
  <c r="E78" i="14"/>
  <c r="G76" i="14"/>
  <c r="F76" i="14"/>
  <c r="E76" i="14"/>
  <c r="G71" i="14"/>
  <c r="G69" i="14" s="1"/>
  <c r="F69" i="14"/>
  <c r="E69" i="14"/>
  <c r="G62" i="14"/>
  <c r="F62" i="14"/>
  <c r="E62" i="14"/>
  <c r="G60" i="14"/>
  <c r="F60" i="14"/>
  <c r="E60" i="14"/>
  <c r="G58" i="14"/>
  <c r="F58" i="14"/>
  <c r="E58" i="14"/>
  <c r="G56" i="14"/>
  <c r="F56" i="14"/>
  <c r="E56" i="14"/>
  <c r="G53" i="14"/>
  <c r="F53" i="14"/>
  <c r="E53" i="14"/>
  <c r="G51" i="14"/>
  <c r="F51" i="14"/>
  <c r="E51" i="14"/>
  <c r="E49" i="14"/>
  <c r="G44" i="14"/>
  <c r="F44" i="14"/>
  <c r="E44" i="14"/>
  <c r="E42" i="14"/>
  <c r="G38" i="14"/>
  <c r="F38" i="14"/>
  <c r="E38" i="14"/>
  <c r="G30" i="14"/>
  <c r="F30" i="14"/>
  <c r="E30" i="14"/>
  <c r="G28" i="14"/>
  <c r="F28" i="14"/>
  <c r="E28" i="14"/>
  <c r="G14" i="14"/>
  <c r="F14" i="14"/>
  <c r="E14" i="14"/>
  <c r="G12" i="14"/>
  <c r="F12" i="14"/>
  <c r="E12" i="14"/>
  <c r="F6" i="14" l="1"/>
  <c r="G182" i="14"/>
  <c r="G6" i="14"/>
  <c r="G143" i="14"/>
  <c r="F182" i="14"/>
  <c r="E32" i="14"/>
  <c r="G90" i="14"/>
  <c r="F205" i="14"/>
  <c r="E6" i="14"/>
  <c r="F32" i="14"/>
  <c r="E205" i="14"/>
  <c r="G32" i="14" l="1"/>
</calcChain>
</file>

<file path=xl/sharedStrings.xml><?xml version="1.0" encoding="utf-8"?>
<sst xmlns="http://schemas.openxmlformats.org/spreadsheetml/2006/main" count="4050" uniqueCount="2110">
  <si>
    <t xml:space="preserve">                           ПРОГНОЗНЫЕ СВЕДЕНИЯ</t>
  </si>
  <si>
    <t xml:space="preserve">                о расходах за технологическое присоединение</t>
  </si>
  <si>
    <t>5. ИНН 7105505971</t>
  </si>
  <si>
    <t>6. КПП  710501001</t>
  </si>
  <si>
    <t>Приложение № 2</t>
  </si>
  <si>
    <t>к стандартам раскрытия информации
субъектами оптового и розничных
рынков электрической энергии</t>
  </si>
  <si>
    <t>(в ред. Постановления Правительства РФ
от 30.01.2019 № 64)</t>
  </si>
  <si>
    <t>И Н Ф О Р М А Ц И Я</t>
  </si>
  <si>
    <t>о фактических средних данных о присоединенных объемах
максимальной мощности за 3 предыдущих года
по каждому мероприятию</t>
  </si>
  <si>
    <t>Фактические
расходы на
строительство
подстанций
за 3 предыдущих
года
(тыс. рублей)</t>
  </si>
  <si>
    <t>Объем мощности,
введенной
в основные фонды
за 3 предыдущих
года (кВт)</t>
  </si>
  <si>
    <t>1.</t>
  </si>
  <si>
    <t>Строительство пунктов секционирования (распределенных пунктов)</t>
  </si>
  <si>
    <t>2.</t>
  </si>
  <si>
    <t>Строительство комплектных трансформаторных
подстанций и распределительных трансформаторных подстанций с уровнем напряжения до 35 кВ</t>
  </si>
  <si>
    <t>3.</t>
  </si>
  <si>
    <t>Строительство центров питания и подстанций уровнем напряжения 35 кВ и выше</t>
  </si>
  <si>
    <t>Приложение № 3</t>
  </si>
  <si>
    <t>о фактических средних данных о длине линий электропередачи
и об объемах максимальной мощности построенных объектов
за 3 предыдущих года по каждому мероприятию</t>
  </si>
  <si>
    <t>Длина воздушных и кабельных линий электропередачи
на i-м уровне напряжения, фактически построенных за последние 3 года (км)</t>
  </si>
  <si>
    <t>Объем максимальной мощности, присоединенной 
путем строительства воздушных или кабельных линий 
за последние 3 года 
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</si>
  <si>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</si>
  <si>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</si>
  <si>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</si>
  <si>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</si>
  <si>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</si>
  <si>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 4</t>
  </si>
  <si>
    <t>Категория заявителей</t>
  </si>
  <si>
    <t>Количество договоров (штук)</t>
  </si>
  <si>
    <t>Максимальная 
мощность (кВт)</t>
  </si>
  <si>
    <t>Стоимость договоров
(без НДС)
(тыс. рублей)</t>
  </si>
  <si>
    <t>1 - 20
кВ</t>
  </si>
  <si>
    <t>35 кВ
и выше</t>
  </si>
  <si>
    <t>До 15 кВт - всего</t>
  </si>
  <si>
    <t>-</t>
  </si>
  <si>
    <t>в том числе
льготная категория *</t>
  </si>
  <si>
    <t>От 15 до 150 кВт - всего</t>
  </si>
  <si>
    <t>в том числе
льготная категория **</t>
  </si>
  <si>
    <t>От 150 кВт до 670 кВт - всего</t>
  </si>
  <si>
    <t>в том числе
по индивидуальному проекту</t>
  </si>
  <si>
    <t>4.</t>
  </si>
  <si>
    <t>От 670 кВт до 8900 кВт -
всего</t>
  </si>
  <si>
    <t>5.</t>
  </si>
  <si>
    <t>От 8900 кВт - всего</t>
  </si>
  <si>
    <t>6.</t>
  </si>
  <si>
    <t>Объекты генерации</t>
  </si>
  <si>
    <r>
      <t>_____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</si>
  <si>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r>
      <t>_____</t>
    </r>
    <r>
      <rPr>
        <sz val="8"/>
        <rFont val="Times New Roman"/>
        <family val="1"/>
        <charset val="204"/>
      </rPr>
      <t>**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</si>
  <si>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t>Приложение № 5</t>
  </si>
  <si>
    <t>Количество заявок
(штук)</t>
  </si>
  <si>
    <t>Максимальная мощность
(кВт)</t>
  </si>
  <si>
    <t>№</t>
  </si>
  <si>
    <t xml:space="preserve">Год ввода объекта </t>
  </si>
  <si>
    <t>Уровень напряжения, кВ</t>
  </si>
  <si>
    <t>Строительство воздушных линий</t>
  </si>
  <si>
    <t>1.j</t>
  </si>
  <si>
    <t>Материал опоры (деревянные (j=1), металлические (j=2), железобетонные (j=3))</t>
  </si>
  <si>
    <t>1.j.k</t>
  </si>
  <si>
    <t>Тип провода (изолированный провод (k=1), неизолированный провод (k=2))</t>
  </si>
  <si>
    <t>1.j.k.l</t>
  </si>
  <si>
    <t>Материал провода (медный (l=1), стальной (l=2), сталеалюминиевый (l=3), алюминиевый (l=4))</t>
  </si>
  <si>
    <t>1.j.k.l.m</t>
  </si>
  <si>
    <t>Строительство кабельных линий</t>
  </si>
  <si>
    <t>2.j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</si>
  <si>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</si>
  <si>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</si>
  <si>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</si>
  <si>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</si>
  <si>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</si>
  <si>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Строительство пунктов секционирования</t>
  </si>
  <si>
    <t>3.j</t>
  </si>
  <si>
    <t>3.j.k</t>
  </si>
  <si>
    <t>…</t>
  </si>
  <si>
    <t>&lt;пообъектная расшифровка&gt;</t>
  </si>
  <si>
    <t>4.j</t>
  </si>
  <si>
    <t>4.j.k</t>
  </si>
  <si>
    <t>Однотрансформаторные (k=1), двухтрансформа-торные и более (k=2)</t>
  </si>
  <si>
    <t>4.j.k.l</t>
  </si>
  <si>
    <t>5.j</t>
  </si>
  <si>
    <t>Распределительные трансформаторные подстанции (РТП)</t>
  </si>
  <si>
    <t>5.j.k</t>
  </si>
  <si>
    <t>5.j.k.l</t>
  </si>
  <si>
    <t>6.j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</si>
  <si>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</si>
  <si>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</si>
  <si>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2"/>
        <rFont val="Times New Roman"/>
        <family val="1"/>
        <charset val="204"/>
      </rPr>
      <t>1</t>
    </r>
  </si>
  <si>
    <t>Расходы  на одно присоединение (руб. на одно ТП)</t>
  </si>
  <si>
    <t>Количество технологических присоединений (шт.)</t>
  </si>
  <si>
    <t>Объем максимальной мощности (кВт)</t>
  </si>
  <si>
    <t>Объект электросетевого хозяйства/Средство коммерческого учета электрической энергии (мощности)</t>
  </si>
  <si>
    <t>Максимальная мощность</t>
  </si>
  <si>
    <t>Расходы на строительство объекта/на обеспечение средствами коммерческого учета электрической энергии (мощности), тыс. руб.</t>
  </si>
  <si>
    <t xml:space="preserve">Строительство центров питания, подстанций уровнем напряжения 35 кВ и выше (ПС)
</t>
  </si>
  <si>
    <t xml:space="preserve">Обеспечение средствами коммерческого учета электрической энергии (мощности)
</t>
  </si>
  <si>
    <t>7.j</t>
  </si>
  <si>
    <t xml:space="preserve">однофазный (j = 1),
трехфазный (j = 2)
</t>
  </si>
  <si>
    <t>7.j.k</t>
  </si>
  <si>
    <t xml:space="preserve">прямого включения (k = 1),
полукосвенного включения (k = 2),
косвенного включения (k = 3)
</t>
  </si>
  <si>
    <t>10. Факс 8(4872)74-93-64</t>
  </si>
  <si>
    <t>1. Полное наименование:    Акционерное общество " Тульские городские электрические сети"</t>
  </si>
  <si>
    <t>3. Место нахождения:  г. Тула, ул. Демидовская плотина, д.10</t>
  </si>
  <si>
    <t>4. Адрес юридического лица: г. Тула, ул. Демидовская плотина, д.10</t>
  </si>
  <si>
    <t xml:space="preserve">8. Адрес электронной почты:  </t>
  </si>
  <si>
    <t>Приложение N 1
к Методическим указаниям
по определению размера платы
за технологическое присоединение
к электрическим сетям</t>
  </si>
  <si>
    <t xml:space="preserve">Протяженность (для линий электропередачи), метров/Количество пунктов секционирования, штук/Количество точек учета, штук
</t>
  </si>
  <si>
    <t>Наименование материала/ оборудования</t>
  </si>
  <si>
    <t>Реквизиты обосновывающих документов по строительству объекта</t>
  </si>
  <si>
    <t xml:space="preserve"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
</t>
  </si>
  <si>
    <t xml:space="preserve">1.j.k.l.m.n
</t>
  </si>
  <si>
    <t xml:space="preserve">Количество цепей (одноцепная (n = 1), двухцепная (n = 2)
</t>
  </si>
  <si>
    <t>j=3, k=1, l=4, m=1, n=1 (до 50 мм2)</t>
  </si>
  <si>
    <t>СИП 3х50+1х54,6</t>
  </si>
  <si>
    <t>СИП 3х50+1х54,6 .</t>
  </si>
  <si>
    <t>СИП 3х35+1х54,6</t>
  </si>
  <si>
    <t xml:space="preserve">СИП 3х25+1х54,6 </t>
  </si>
  <si>
    <t xml:space="preserve"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
</t>
  </si>
  <si>
    <t xml:space="preserve">2.j.k.l.m.n
</t>
  </si>
  <si>
    <t xml:space="preserve"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
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</si>
  <si>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</si>
  <si>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мм2)</t>
    </r>
  </si>
  <si>
    <t>АВБбШв 4х35</t>
  </si>
  <si>
    <t xml:space="preserve">АВБбШв 4х50 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</si>
  <si>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</si>
  <si>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n=2 (до 50 мм2)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</si>
  <si>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</si>
  <si>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мм2)</t>
    </r>
  </si>
  <si>
    <t>АВБбШв 4х95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</si>
  <si>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</si>
  <si>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мм2)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</si>
  <si>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.2.2.2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</si>
  <si>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.1.3.1</t>
    </r>
  </si>
  <si>
    <t>АВБбШв 4х150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</si>
  <si>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</si>
  <si>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n=2 (100-200 мм2)</t>
    </r>
  </si>
  <si>
    <t>АВБбШв 4х120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</si>
  <si>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.2.3.1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</si>
  <si>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.2.3.2</t>
    </r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</si>
  <si>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</si>
  <si>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n=1 (200-250 мм2)</t>
    </r>
  </si>
  <si>
    <t>АВБбШв 4х240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</si>
  <si>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.2.4.1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</si>
  <si>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.1.1.1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</si>
  <si>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.1.2.1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</si>
  <si>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.2.2.1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</si>
  <si>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.1.1.2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</si>
  <si>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.1.2.2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</si>
  <si>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.1.3.1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</si>
  <si>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.1.3.2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</si>
  <si>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.2.3.1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</si>
  <si>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.2.3.2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</si>
  <si>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.1.4.1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</si>
  <si>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.1.4.2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</si>
  <si>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.2.4.1</t>
    </r>
  </si>
  <si>
    <t xml:space="preserve">Реклоузеры (j = 1), линейные разъединители (j = 2), выключатели нагрузки, устанавливаемые вне трансформаторных подстанций и распределительных и переключательных пунктов (РП) (j = 3), распределительные пункты (РП), за исключением комплектных распределительных устройств наружной установки (КРН, КРУН) (j = 4), комплектные распределительные устройства наружной установки (КРН, КРУН) (j = 5), переключательные пункты (j = 6)
</t>
  </si>
  <si>
    <t xml:space="preserve">Номинальный ток до 100 А включительно (k = 1), от 100 до 250 А включительно (k = 2), от 250 до 500 А включительно (k = 3), от 500 А до 1 000 А включительно (k = 4), свыше 1 000 А (k = 5)
</t>
  </si>
  <si>
    <t xml:space="preserve">3.4.k.l
</t>
  </si>
  <si>
    <t xml:space="preserve">Количество ячеек в распределительном или переключательном пункте (до 5 ячеек включительно (l = 1), от 5 до 10 ячеек включительно (l = 2), от 10 до 15 ячеек включительно (l = 3), свыше 15 ячеек (l = 4)
</t>
  </si>
  <si>
    <t xml:space="preserve">Трансформаторные подстанции (ТП), за исключением распределительных трансформаторных подстанций (РТП) 6/0,4 кВ (j = l), 10/0,4 кВ (j = 2), 20/0,4 кВ (j = 3), 6/10 (10/6) кВ (j = 4), 10/20 (20/10) кВ (j = 5), 6/20 (20/6) (j = 6)
</t>
  </si>
  <si>
    <t xml:space="preserve">4.j.k.l.m
</t>
  </si>
  <si>
    <t>4.1.1.4.2</t>
  </si>
  <si>
    <t>j=1, k=1, l=4, m=2 (250-400 кВА)</t>
  </si>
  <si>
    <t>4.1.1.2.2</t>
  </si>
  <si>
    <t>4.1.2.5.3</t>
  </si>
  <si>
    <t>4.2.2.5.3</t>
  </si>
  <si>
    <t xml:space="preserve">6.j.k
</t>
  </si>
  <si>
    <t xml:space="preserve">Трансформаторная мощность до 6,3 МВА включительно (k = 1), от 6,3 до 10 МВА включительно (k = 2), от 10 до 16 МВА включительно (k = 3), от 16 до 25 МВА включительно (k = 4), от 25 до 32 МВА включительно (k = 5), от 32 до 40 МВА включительно (k = 6), от 40 до 63 МВА включительно (k = 7), от 63 до 80 МВА включительно (k = 8), от 80 до 100 МВА включительно (k = 9), свыше 100 МВА (k = 10)
</t>
  </si>
  <si>
    <t>7.1.1</t>
  </si>
  <si>
    <t>j=1, k=1</t>
  </si>
  <si>
    <t>7.2.1</t>
  </si>
  <si>
    <t>j=2, k=1</t>
  </si>
  <si>
    <t>Расходы на строительство воздушных и кабельных линий электропередачи
на i-м уровне напряжения, фактически построенных за последние 3 года
(тыс. рублей без НДС)</t>
  </si>
  <si>
    <t>Подготовка и выдача сетевой организацией технических условий Заявителю</t>
  </si>
  <si>
    <t>2.1</t>
  </si>
  <si>
    <t>2.2</t>
  </si>
  <si>
    <t>1.3.1.4.1.1</t>
  </si>
  <si>
    <t>СИП-3 1х50</t>
  </si>
  <si>
    <t>СИП-2 3х35+1х54,6</t>
  </si>
  <si>
    <t>СИП-2 3х50+1х54,6</t>
  </si>
  <si>
    <t>1.3.1.4.2.1</t>
  </si>
  <si>
    <t>j=3, k=1, l=4, m=2, n=1 (от 50 до 100 мм2)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</si>
  <si>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(j=6), подводная прокладка (j=7)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</si>
  <si>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.2.1.2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</si>
  <si>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n=2 (до 50 мм2)</t>
    </r>
  </si>
  <si>
    <t>АСБл 3х70</t>
  </si>
  <si>
    <t>АВБбШв 4х185</t>
  </si>
  <si>
    <t>АСБл 3х120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</si>
  <si>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.1.4.2</t>
    </r>
  </si>
  <si>
    <r>
      <t>2.2.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.2.1.2</t>
    </r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</si>
  <si>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n=2 (до 50 мм2)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</si>
  <si>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.1.2.1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</si>
  <si>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.2.2.1</t>
    </r>
  </si>
  <si>
    <t>Строительство комплектных трансформаторных подстанций (КТП), с уровнем напряжения до 35 кВ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</si>
  <si>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от 2500 до 3150 кВА включительно (l = 11), от 3150 до 4000 кВА включительно (l = 12), свыше 4000 кВА (l = 13)
</t>
  </si>
  <si>
    <t>Столбового/мачтового типа (m = 1), шкафного или киоскового типа (m = 2), блочного типа (m = 3), встроенного типа  (m = 4)</t>
  </si>
  <si>
    <t>4.1.1.3.2</t>
  </si>
  <si>
    <t>j=1, k=1, l=3, m=2 (100-250 кВА)</t>
  </si>
  <si>
    <t>4.2.2.4.3</t>
  </si>
  <si>
    <t>j=2, k=2, l=4, m=3 (250-400 кВА)</t>
  </si>
  <si>
    <t>j=2, k=2, l=6, m=3 (630-1000 кВА)</t>
  </si>
  <si>
    <t>Строительство распределительных трансформаторных подстанций (РТП) с уровнем напряжения до 35 кВ</t>
  </si>
  <si>
    <t>Однотрансформаторные (k=1), двухтрансформаторные и более (к=2)</t>
  </si>
  <si>
    <t xml:space="preserve">Трансформаторная мощность до 25 кВА включительно (l = 1), от 25 до 100 кВА включительно (l = 2), от 100 до 250 кВА включительно (l = 3), от 250 до 400 кВА (l = 4), от 400 до 630 кВА включительно (l = 5), от 630 до 1000 кВА включительно (l = 6), от 1000 кВА до 1250 кВА включительно (l = 7), от 1250 до 1600 кВА включительно (l = 8), от 1600 до 2000 кВА включительно (l = 9), от 2000 до 2500 кВА включительно (l = 10),  от 2500 до 3150 кВА включительно (l = 11), свыше 3150 кВА (l = 12)
</t>
  </si>
  <si>
    <t xml:space="preserve">Однотрансформаторные (k=1), двухтрансформаторные и более (к=2)
</t>
  </si>
  <si>
    <t>7.2.2</t>
  </si>
  <si>
    <t>j=2, k=2</t>
  </si>
  <si>
    <t>Расходы  по каждому мероприятию (руб.)</t>
  </si>
  <si>
    <t>Проверка сетевой организацией выполнения  технических условий Заявителем</t>
  </si>
  <si>
    <t xml:space="preserve">Проверка сетевой организацией выполнения технических условий Заявителями, указанными в абзаце седьмом пункта 24 Методических указаний по определению размера платы за технологическое присоединение к электрическим сетям 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</si>
  <si>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АО "Тульские городские электрические сети",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2022 год</t>
    </r>
    <r>
      <rPr>
        <b/>
        <sz val="12"/>
        <rFont val="Times New Roman"/>
        <family val="1"/>
        <charset val="204"/>
      </rPr>
      <t xml:space="preserve">
</t>
    </r>
  </si>
  <si>
    <t>1.3.2.4.1.1</t>
  </si>
  <si>
    <t>j=3, k=2, l=4, m=1, n=1 (до 50 мм2)</t>
  </si>
  <si>
    <t>Геворгян Офеля Владимировна, Договор техприсоединения №419-21/2279 от 30.08.2021, ВЛ-0,4кВ КТП 1337 сеть 2 ул. Партизанская</t>
  </si>
  <si>
    <t xml:space="preserve">А-50 </t>
  </si>
  <si>
    <t>Геоземкадастр ООО, Договор подряда № 31-2 от 04.02.2022</t>
  </si>
  <si>
    <t>ЮТА ООО, Договор техприсоединения №465-21/2351 от 20.09.2021, ВЛИ-0,4кВ КТП 1445 сеть 1 ул. Большая</t>
  </si>
  <si>
    <t>Курбатова Наталья Николаевна, Договор техприсоединения №403-20/3511 от 16.11.2020, ВЛИ-0,4кВ КТП 832 сеть 4, ул. Хомяковская, д.8-б</t>
  </si>
  <si>
    <t xml:space="preserve">СИП 3х50+1х54,6 </t>
  </si>
  <si>
    <t>ООО "Компания Электромонтаж", Договор подряда № 98 от 14.03.2022</t>
  </si>
  <si>
    <t>Залящина Татьяна Владимировна, Договор техприсоединения №281-21/1579 от 21.06.2021, ВЛИ-0,4 кВ ТП 706 сеть 4 ул. Кирова, д.159</t>
  </si>
  <si>
    <t>Электросвет ООО, Договор подряда № 109 от 16.03.2022</t>
  </si>
  <si>
    <t>Панфилов Сергей Львович, Договор техприсоединения №353-21/1501 от 27.07.2021, ВЛИ-0,4кВ КТП 1395 сеть 3 ул.Шишкова,5-й,6-й пр-д п. Октябрьский</t>
  </si>
  <si>
    <t>Старцев Владимир Николаевич, Договор техприсоединения №510-21/2789 от 13.10.2021, ВЛИ-0,4кВ КТП 1441 сеть 3 пр-д 4-й Клинской</t>
  </si>
  <si>
    <t>Электросвет ООО, Договор подряда № 85 от 11.03.2022</t>
  </si>
  <si>
    <t>Новогаз ООО, Договор техприсоединения №187-21 от 16.04.2021, ВЛЗ 6 кв ТП 1436-з/у 71:30:050416:1021 Новомосковское шоссе</t>
  </si>
  <si>
    <t>СИП 1х50</t>
  </si>
  <si>
    <t>Электросвет ООО, Договор подряда № 527 от 05.10.2021</t>
  </si>
  <si>
    <t>Максимов Тимур Константинович, Договор техприсоединения №346-21/1949 от 23.07.2021, ВЛИ-0,4кВ КТП 1466 сеть 1 ул. Киреевская,з/у кад.№71:30:080404:16</t>
  </si>
  <si>
    <t>ООО "Компания Электромонтаж", Договор подряда № 26 от 17.01.2022</t>
  </si>
  <si>
    <t>Кириллов Юрий Евгеньевич ИП, Договор техприсоединения №7-21/3 от 13.01.2021, ВЛИ-0,4 кВ ТП 246-зд. 24/141 ул. Оружейнаяя/ул. Болдина</t>
  </si>
  <si>
    <t>ТЭК ООО, Договор подряда № 130 от 16.04.2021</t>
  </si>
  <si>
    <t>Воробьев Алексей Анатольевич, Договор техприсоединения №181-21/884 от 14.04.2021, ВЛИ-0,4кВ КТП 1466 сеть 2 п. Горняк, СТ сад 2 УВД, з/у кад.№71:30:080415:7</t>
  </si>
  <si>
    <t>Туланефтепродукт ПАО, Договор техприсоединения №217-21/886 от 29.04.2021, ВЛИ-0,4кВ КТП 1261-щит учета,  ул. Рязанская, д.5а, з/у 71:30:050215:5</t>
  </si>
  <si>
    <t>ТЭК ООО, Договор подряда № 443 от 11.08.2021</t>
  </si>
  <si>
    <t>ИП Власов Михаил Аркадьевич, Договор техприсоединения №384-21/2118 от 12.08.2021, ВЛИ-0,4кВ ТП 189 сеть 3 ул. Октябрьская на фасаде д.16</t>
  </si>
  <si>
    <t xml:space="preserve">СИП-2 3х35+1х54,6 </t>
  </si>
  <si>
    <t>Тулатеплосеть АО (новая), Договор техприсоединения №331-21/1670 от 14.07.2021, ВЛИ-0,4 КВ ТП 343 сеть 5, Ханинский проезд,15</t>
  </si>
  <si>
    <t>ООО "РСО-Энерго", Договор подряда № 688 от 28.12.2021</t>
  </si>
  <si>
    <t>Тульские парки ГУ ТО, Договор техприсоединения №447-21/2249 от 09.09.2021, ВЛИ-0,4кВ КТП 1170 сеть 5 ул. Кропоткина д.8-Веневское ш. з/у кад. №71:30:000000:9237</t>
  </si>
  <si>
    <t>ООО "Компания Электромонтаж", Договор подряда № 97 от 14.03.2022</t>
  </si>
  <si>
    <t>Бахлин Олег Николаевич, Договор техприсоединения №596-21/3317 от 30.11.2021, ВЛИ-0,4кВ КТП 1374 сеть 2 ул. Фестивальная,120,СНТ"Горняк"</t>
  </si>
  <si>
    <t xml:space="preserve">СИП 3х70+1х54,6 </t>
  </si>
  <si>
    <t>ООО "Компания Электромонтаж", Договор подряда № 253 от 08.07.2022</t>
  </si>
  <si>
    <t>1.3.1.4.3.1</t>
  </si>
  <si>
    <t>j=3, k=1, l=4, m=3, n=1 (от 100 до 200 мм2)</t>
  </si>
  <si>
    <t>Тульская фармацевтическая фабрика ООО, Договор техприсоединения №194-20 от 08.07.2020, ВЛЗ-6 кВ ПС 17 "Щегловская" ф.33-проект. оп. 1-оп. 2,Торховский проезд,10</t>
  </si>
  <si>
    <t>СИП-3 1х120</t>
  </si>
  <si>
    <t>ТЭК ООО, Договор подряда № 445 от 22.12.2020</t>
  </si>
  <si>
    <t>Вахобов Абдусамад Абдукодирович, Договор техприсоединения №549-21/2905 от 08.11.2021, КЛ-0,4кВ от ВЛИ сеть 1 КТП 1314 - щит учета ул. Российская, з/у кад. №71:30:020512:555</t>
  </si>
  <si>
    <t xml:space="preserve">АВБбШв 4х25 </t>
  </si>
  <si>
    <t>Геоземкадастр ООО, Договор подряда № 95 от 14.03.2022</t>
  </si>
  <si>
    <t>МБОУ ЦО № 5  им. Громова, Договор техприсоединения №389-21/1807 от 13.08.2021, КЛ-0,4кВ КТП 1055-внешн. стена здания ЦО ул. Макаренко,31</t>
  </si>
  <si>
    <t>АВБШв 4х25</t>
  </si>
  <si>
    <t>Спортивные объекты МАУ МО г.Тулы, Договор техприсоединения №101-21/398 от 05.03.2021, КЛ-0,4кВ ТП 1308-ЩУ лыжная база 4-й Дачный пр., д.7б, кад. №71:30:030828:126</t>
  </si>
  <si>
    <t>АВБбШв 4х25</t>
  </si>
  <si>
    <t>Электросвет ООО, Договор подряда № 676 от 23.12.2021</t>
  </si>
  <si>
    <t>Тулатеплосеть АО (новая), Договор техприсоединения №331-21/1670 от 14.07.2021, КЛ-0,4кВ  оп. №10 ВЛИ ТП 343 сеть 5-щит учета  Ханинский пр-д, 15</t>
  </si>
  <si>
    <t xml:space="preserve">АВБШв 4х50 </t>
  </si>
  <si>
    <t>Комплексный центр социального обслуживания населения №1 ГУ ТО, Договор техприсоединения №185-21/803 от 15.04.2021, КЛ-0,4кВ ТП 392-распред.коробка ул. Агеева, д.20-а</t>
  </si>
  <si>
    <t>Электросвет ООО, Договор подряда № 686 от 27.12.2021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</si>
  <si>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мм2) трубы</t>
    </r>
  </si>
  <si>
    <t xml:space="preserve">АВБШв 4х25 </t>
  </si>
  <si>
    <t>ЗапчастьСервис ООО, Договор техприсоединения №404-20/3647 от 16.11.2020, КЛ-0,4кВ ТП 442 ул. Рязанская,д. 3-в, кад. №71:30:050313:29</t>
  </si>
  <si>
    <t>Геоземкадастр ООО, Договор подряда № 31-1 от 04.02.2022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</si>
  <si>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.1.1.1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</si>
  <si>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мм2) ГНБ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</si>
  <si>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n=2 (до 50 мм2) ГНБ</t>
    </r>
  </si>
  <si>
    <t>Григорян Эдгар Арайикович, Договор техприсоединения №91-21/351 от 02.03.2021,  КЛ-6 кВ  №1, 2 КТП 832 -КТП 1468</t>
  </si>
  <si>
    <t xml:space="preserve">2 х АСБл 3х50 </t>
  </si>
  <si>
    <t>ООО "Компания Электромонтаж", Договор подряда № 99 от 14.03.2022</t>
  </si>
  <si>
    <t>2 х АСБл 3х50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</si>
  <si>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.2.1.3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</si>
  <si>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n=3 (до 50 мм2)</t>
    </r>
  </si>
  <si>
    <t xml:space="preserve">2  х АСБл 3х50 </t>
  </si>
  <si>
    <t>Тулатеплосеть АО (новая), Договор техприсоединения №331-21/1670 от 14.07.2021, КЛ-0,4кВ ТП 343-оп.1 ВЛИ-0,4кВ ТП 343 сеть 5, Ханинский пр-д, 15</t>
  </si>
  <si>
    <t>АВБШв 4х70</t>
  </si>
  <si>
    <t>Максимов Тимур Константинович, Договор техприсоединения №346-21/1949 от 23.07.2021, КЛ-0,4кВ КТП 1466 сеть 1 ул. Киреевская</t>
  </si>
  <si>
    <t xml:space="preserve">АВБШв 4х70 </t>
  </si>
  <si>
    <t>Воробьев Алексей Анатольевич, Договор техприсоединения №181-21/884 от 14.04.2021, КЛ-0,4кВ КТП 1466 сеть 2 п. Горняк, СТ сад 2 УВД, з/у кад.№71:30:080415:7</t>
  </si>
  <si>
    <t>НефтоКомби ООО, Договор техприсоединения №29-21/97 от 29.01.2021, КЛ-0,4кВ ТП 578 - щит учета ул. Макаренко, з/у 71:30:020620:114</t>
  </si>
  <si>
    <t>АВБбШв 4х70</t>
  </si>
  <si>
    <t>ЭнергоПромМонтаж ООО, Договор подряда № 126 от 14.04.2021</t>
  </si>
  <si>
    <t>ГКУ ТО Централизованная бухгалтерия министерства образования Тульской области, Договор техприсоединения №37-21/99 от 01.02.2021, КЛ-0,4кВ ТП 585- ул. Демидовская плотина, д.37</t>
  </si>
  <si>
    <t>АВБШв 4х95</t>
  </si>
  <si>
    <t>Электросвет ООО, Договор подряда № 653 от 16.12.2021</t>
  </si>
  <si>
    <t>Григорян Эдгар Арайикович, Договор техприсоединения №91-21/351 от 02.03.2021,  КЛ-0,4 кВ КТП 1468-щит учета ул. Хомяковская, д.8г</t>
  </si>
  <si>
    <t xml:space="preserve">АВБбШв 4х95 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</si>
  <si>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мм2) трубы</t>
    </r>
  </si>
  <si>
    <t>Храмов Сергей Геннадьевич, Договор техприсоединения №152-21/758 от 02.04.2021, КЛ-0,4кВ ТП 105-щит учета ул. Седова,з/у №71:30:020401:256</t>
  </si>
  <si>
    <t>Электросвет ООО, Договор подряда № 110 от 16.03.2022</t>
  </si>
  <si>
    <t>Тульские парки ГУ ТО, Договор техприсоединения №447-21/2249 от 09.09.2021, КЛ-0,4кВ оп.7 ВЛИ-0,4кВ КТП 1170 сеть 5 - Веневское ш. з/у кад. №71:30:000000:9237</t>
  </si>
  <si>
    <t xml:space="preserve">АВБбШв 4х70 </t>
  </si>
  <si>
    <t xml:space="preserve">АВБШв 4х95 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</si>
  <si>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(от 50 до 100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</si>
  <si>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n=2 (от 50 до 100 мм2)</t>
    </r>
  </si>
  <si>
    <t>Богданов Владимир Владимирович, Договор техприсоединения №56-21 от 10.02.2021, КЛ-6кВ ТП 764- З/У 71:30:050411:42 Городской пер.</t>
  </si>
  <si>
    <t>ЭнергоПромМонтаж ООО, Договор подряда № 142 от 19.04.2021</t>
  </si>
  <si>
    <t>Новогаз ООО, Договор техприсоединения №187-21 от 16.04.2021, КЛ-6 кВ ТП 1436-1  оп. ВЛЗ 6 кв на з/у 71:30:050416:1021</t>
  </si>
  <si>
    <t xml:space="preserve">АСБл 3х70 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</si>
  <si>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</si>
  <si>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(от 50 до 100 мм2)</t>
    </r>
  </si>
  <si>
    <t>2.1.2.1.3.1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</si>
  <si>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n=1 (от 100 до 200 мм2)</t>
    </r>
  </si>
  <si>
    <t>Твердохлеб Сергей Алексеевич, Договор техприсоединения №267-21/1518 от 15.06.2021, КЛ-0,4 кВ ТП 646-щит учета ул. 1-я Трубная,д. 16</t>
  </si>
  <si>
    <t>Тулатеплосеть АО (новая), Договор техприсоединения №415-21/2193 от 27.08.2021, КЛ-0,4 кВ ТП 286-ВРУ котельной ул. Костычева, д.5</t>
  </si>
  <si>
    <t xml:space="preserve">АВБбШв 4х185 </t>
  </si>
  <si>
    <t>Городничев Олег Евгеньевич, Договор техприсоединения №336-21/1364 от 16.07.2021, КЛ-0,4кВ КТП 1465-щит учета на з/у кад. №71:14:030601:4239 д. Зимаровка</t>
  </si>
  <si>
    <t>АВБШв 4х150</t>
  </si>
  <si>
    <t>ООО ЭЛЕКТРОН, Договор подряда № 114 от 17.03.2022</t>
  </si>
  <si>
    <t>Агентство АМИ ЛТД ООО, Договор техприсоединения №238-21/1321 от 24.05.2021_рассрочка, КЛ-0,4кВ ТП 84-ул. Мосина,33, з/у 71:30:040102:53</t>
  </si>
  <si>
    <t>ООО "Компания Электромонтаж", Договор подряда № 531 от 12.10.2021</t>
  </si>
  <si>
    <t>Тулагорсвет МКП, Договор техприсоединения №537-21 от 26.10.2021, КЛ-0,4кВ №2 ТП 1461 -ЩР пл. Ленина, каток</t>
  </si>
  <si>
    <t xml:space="preserve">АВБбШв 4х120 </t>
  </si>
  <si>
    <t>ООО "Компания Электромонтаж", Договор подряда № 101 от 15.03.2022</t>
  </si>
  <si>
    <t>Тулагорсвет МКП, Договор техприсоединения №537-21 от 26.10.2021, КЛ-0,4кВ №1 ТП 1461 -ЩР пл. Ленина, каток</t>
  </si>
  <si>
    <t xml:space="preserve">АВБбШв 4х150 </t>
  </si>
  <si>
    <t>Кондратьев Сергей Александрович, Договор техприсоединения №186-21/654 от 15.04.2021, КЛ-0,4кВ ТП 56  -щит учета ул. Гоголевская,з/у кад. №71:30:040119:3132</t>
  </si>
  <si>
    <t xml:space="preserve">АВБШВ 4х120 </t>
  </si>
  <si>
    <t>СмайлСпа ООО, Договор техприсоединения №461-20/4091 от 23.12.2020, КЛ-0,4 кВ  ТП 92-щит учета ул. Лейтейзина, уч. 78, кад. №71:30:040109:2827</t>
  </si>
  <si>
    <t>ООО "Компания Электромонтаж", Договор подряда № 582 от 10.11.2021</t>
  </si>
  <si>
    <t>ООО М-ГРУПП, Договор техприсоединения №411-20/3512 от 20.11.2020_переуступка на ИП Матяш Н.А., КЛ-0,4кВ ТП 687 -щит учета на зем. уч. кад. № 71:30:020302:113 ул. Лесная опушка, д. 20</t>
  </si>
  <si>
    <t>ДИММЕР ООО, Договор подряда № 296 от 28.06.2021</t>
  </si>
  <si>
    <t>СмайлСпа ООО, Договор техприсоединения №461-20/4091 от 23.12.2020, КЛ-0,4 кВ  ТП 93-щит учета ул. Лейтейзина, уч. 78, кад. №71:30:040109:2827</t>
  </si>
  <si>
    <t>Тулатеплосеть АО (новая), Договор техприсоединения №436-22 от 24.05.2022, КЛ-0,4кВ ТП 832 - внеш. стена зд. котельной ул. Хомяковская, 12, лит Ш.</t>
  </si>
  <si>
    <t>ООО "Компания Электромонтаж", Договор подряда № 341 от 09.08.2022</t>
  </si>
  <si>
    <t>Пушкин Вадим Николаевич, Договор техприсоединения №177-21/869 от 13.04.2021, КЛ-0,4 кВ  ТП 1406-щит учета д.5 з/у 71:30:050101:622 ул Советская</t>
  </si>
  <si>
    <t>ЛЕГИОНЭНЕРГО ООО, Договор подряда № 558 от 22.10.2021</t>
  </si>
  <si>
    <t>Центр образования № 14 муниципальное бюджетное общеобразовательное учреждение, Договор техприсоединения №621-21/3307/2022.124519 от 08.12.2021, КЛ-0,4кВ ТП 771-щит учета школы ЦО №14 п. Менделеевский, ул. Ленина,11</t>
  </si>
  <si>
    <t xml:space="preserve">АВБШв 4х120 </t>
  </si>
  <si>
    <t>ООО ЭЛЕКТРОН, Договор подряда № 409 от 04.10.2022</t>
  </si>
  <si>
    <t>Тулагорсвет МКП, Договор техприсоединения №537-21 от 26.10.2021, КЛ-0,4кВ №3 ТП 1461 -ЩР пл. Ленина, каток</t>
  </si>
  <si>
    <t>УКС г.Тулы МУ Управление капитального строительства города Тулы, Договор техприсоединения 467-21/2481-168-21/799 от 22.09.2021, КЛ-0,4кВ ТП 9 - ВРУ пр. Ленина, 56,58.</t>
  </si>
  <si>
    <t>УКС г.Тулы МУ Управление капитального строительства города Тулы, Договор техприсоединения 467-21/2481-168-21/799 от 22.09.2021, КЛ-0,4кВ ТП 342 - ВРУ пр. Ленина, 56,58.</t>
  </si>
  <si>
    <t>2.1.2.1.3.2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</si>
  <si>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n=2 (от 100 до 200 мм2)</t>
    </r>
  </si>
  <si>
    <t>МФЦ ГБУ ТО Многофункциональный центр, Договор техприсоединения №66/2020/463-20 от 23.12.2020, КЛ-0,4кВ 1 с.ш. (каб.1,2) ТП 1469-РЩ 1 ул. Халтурина,д. 1</t>
  </si>
  <si>
    <t>МФЦ ГБУ ТО Многофункциональный центр, Договор техприсоединения №66/2020/463-20 от 23.12.2020, КЛ-0,4кВ 2 с.ш. (каб.1,2) ТП 1469-РЩ 4 ул. Халтурина,д. 1</t>
  </si>
  <si>
    <t>2.2.2.1.3.1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</si>
  <si>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n=1 (от 100 до 200 мм2)</t>
    </r>
  </si>
  <si>
    <t>АВБШВ 4х120</t>
  </si>
  <si>
    <t>АВБбШв 4х150 .</t>
  </si>
  <si>
    <t xml:space="preserve">АВБШв 4х150 </t>
  </si>
  <si>
    <t>2.6.2.1.3.1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</si>
  <si>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n=1 (от 100 до 200 мм2)</t>
    </r>
  </si>
  <si>
    <t>2.6.2.1.3.2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</si>
  <si>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m=3, n=2 (от 100 до 200 мм2)</t>
    </r>
  </si>
  <si>
    <t>2.1.2.2.3.1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</si>
  <si>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m=3, n=1 (от 100 до 200 мм2)</t>
    </r>
  </si>
  <si>
    <t>МФЦ ГБУ ТО Многофункциональный центр, Договор техприсоединения №66/2020/463-20 от 23.12.2020, КЛ-10кВ ТП 1469-ТП 556</t>
  </si>
  <si>
    <t xml:space="preserve">АСБл 3х120 </t>
  </si>
  <si>
    <t>МФЦ ГБУ ТО Многофункциональный центр, Договор техприсоединения №66/2020/463-20 от 23.12.2020, КЛ-10кВ ТП 1469-ТП 72</t>
  </si>
  <si>
    <t>Фонд поддержки социальных инициатив Газпрома, Договор техприсоединения №59-21 от 11.02.2021, КЛ-6кВ ТП 682 - ТП 1472</t>
  </si>
  <si>
    <t>Электросвет ООО, Договор подряда № 683 от 24.12.2021</t>
  </si>
  <si>
    <t>Фонд поддержки социальных инициатив Газпрома, Договор техприсоединения №59-21 от 11.02.2021, КЛ-6кВ ТП 681 - ТП 1472</t>
  </si>
  <si>
    <t>АСБл 3х120 .</t>
  </si>
  <si>
    <t>Тульские парки ГУ ТО, Договор техприсоединения №427-20 от 14.12.2020, КЛ-6 кВ  ТП 331-ТП 1462</t>
  </si>
  <si>
    <t xml:space="preserve">АСБл 3х185 </t>
  </si>
  <si>
    <t>Электросвет ООО, Договор подряда № 536 от 15.10.2021</t>
  </si>
  <si>
    <t>Парамонова Людмила Николаевна, Договор техприсоединения №180-21/840 от 14.04.2021, КЛ-6кВ КТП 1466 - ТП 1377 до врезки</t>
  </si>
  <si>
    <t>Парамонова Людмила Николаевна, Договор техприсоединения №180-21/840 от 14.04.2021, КЛ-6кВ КТП 1466 - РП ГПТУ до врезки</t>
  </si>
  <si>
    <t>Тульские парки ГУ ТО, Договор техприсоединения №427-20 от 14.12.2020, КЛ-6 кВ  ТП 280-ТП 1462</t>
  </si>
  <si>
    <t>АСБл 3х185</t>
  </si>
  <si>
    <t>2.2.2.2.3.1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</si>
  <si>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m=3, n=1 (от 100 до 200 мм2)</t>
    </r>
  </si>
  <si>
    <t>2.6.2.2.3.1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</si>
  <si>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m=3, n=1 (от 100 до 200 мм2)</t>
    </r>
  </si>
  <si>
    <t>2.6.2.2.3.2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</si>
  <si>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m=3, n=2 (от 100 до 200 мм2)</t>
    </r>
  </si>
  <si>
    <t>2.1.2.1.4.1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</si>
  <si>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m=4, n=1 (от 200 до 250 мм2)</t>
    </r>
  </si>
  <si>
    <t>Тулатеплосеть АО (новая), Договор техприсоединения №436-22 от 24.05.2022, КЛ-0,4кВ ТП 831 - внеш. стена зд. котельной ул. Хомяковская, 12, лит Ш.</t>
  </si>
  <si>
    <t xml:space="preserve">АВБбШв 4х240 </t>
  </si>
  <si>
    <t>2.2.2.1.4.1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</si>
  <si>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m=4, n=1 (от 200 до 250 мм2)</t>
    </r>
  </si>
  <si>
    <t>2.6.2.1.4.1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</si>
  <si>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l=1, m=4, n=1 (от 200 до 250 мм2)</t>
    </r>
  </si>
  <si>
    <t>2.1.2.2.4.1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</si>
  <si>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m=4, n=1 (от 200 до 250 мм2)</t>
    </r>
  </si>
  <si>
    <t>Тульская фармацевтическая фабрика ООО, Договор техприсоединения №194-20 от 08.07.2020, КЛ-6 кВ ПС 17 "Щегловская" ф.33- з/у 71:30:030913:49,Торховский проезд,10</t>
  </si>
  <si>
    <t xml:space="preserve">АСБл 3х240 </t>
  </si>
  <si>
    <t>2.2.2.2.4.1</t>
  </si>
  <si>
    <r>
      <t xml:space="preserve">j=2,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m=4, n=1 (от 200 до 250 мм2)</t>
    </r>
  </si>
  <si>
    <t>2.6.2.2.4.2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</si>
  <si>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k=2</t>
    </r>
    <r>
      <rPr>
        <b/>
        <sz val="12"/>
        <rFont val="Times New Roman"/>
        <family val="1"/>
        <charset val="204"/>
      </rPr>
      <t>, l=2, m=4, n=2 (от 200 до 250 мм2)</t>
    </r>
  </si>
  <si>
    <t>j=1, k=1, l=2, m=2 (25-100 кВА)</t>
  </si>
  <si>
    <t>Парамонова Людмила Николаевна, Договор техприсоединения №180-21/840 от 14.04.2021</t>
  </si>
  <si>
    <t>Комплектная трансформаторная подстанция КТП-П 100/6/0,4кВ КК У1, зав.№2205706 -1 комплект</t>
  </si>
  <si>
    <t>Григорян Эдгар Арайикович, Договор техприсоединения №91-21/351 от 02.03.2021</t>
  </si>
  <si>
    <t>Комплектная трансформаторная подстанция КТПК-Т 160/6/04кВ зав.№2203587 -1 шт.</t>
  </si>
  <si>
    <t>МФЦ ГБУ ТО Многофункциональный центр, Договор техприсоединения №66/2020/463-20 от 23.12.2020</t>
  </si>
  <si>
    <t>Комплектная трансформаторная подстанция УХЛ1 (Сэндвич) 2КТПНУ-400/10/04кВ зав.№807-98 -1 шт.</t>
  </si>
  <si>
    <t>j=1, k=2, l=5, m=3 (400-630 кВА)</t>
  </si>
  <si>
    <t>Фонд поддержки социальных инициатив Газпрома, Договор техприсоединения №59-21 от 11.02.2021</t>
  </si>
  <si>
    <t>Комплектная трансформаторная подстанция серия "Континент" 2КТП-630/6/0,4кВ зав.№352 -1 комплект</t>
  </si>
  <si>
    <t>Бугаков Сергей Иванович, Договор техприсоединения №286-21/1610 от 23.06.2021, Щит учета на ВЛИ-0,4кВ ТП 165 , сеть ул. Штыковая, д.63, 1 владение</t>
  </si>
  <si>
    <t>Прибор учета 1-ф Меркурий 201.5 зав.№46357376 - 1 шт.</t>
  </si>
  <si>
    <t>Вахобов Абдусамад Абдукодирович, Договор техприсоединения №549-21/2905 от 08.11.2021, Щит учета на КЛ-0,4кВ от ВЛИ сеть 1 КТП 1314  ул. Российская, з/у кад.№71:30:020512:555</t>
  </si>
  <si>
    <t>Прибор учета 1-ф Меркурий 201.5 зав.№46415048 - 1 шт.</t>
  </si>
  <si>
    <t>Трещев Сергей Владимирович, Договор техприсоединения №291-20/2923 от 28.09.2020, Щит учета на ВЛИ- 0,4 кВ ТП 1266-пер.Водный, д.17, з/у 71:30:050103:1182</t>
  </si>
  <si>
    <t>Прибор учета 1-ф Меркурий 201.5 зав.№44907902 - 1 шт.</t>
  </si>
  <si>
    <t>ЭЛЕКТРОСЕТЬПРОЕКТ-М, Договор подряда № 178 от 05.05.2021</t>
  </si>
  <si>
    <t>Ростовцева Ирина Юрьевна, Договор техприсоединения №89-21/399 от 02.03.2021, Щит учета на ВЛ-0,23 кВ КТП 614 с.4, п. Горняк, СТ №Сад 2 УВД", участок  25, кад.. №71:30:080415:1</t>
  </si>
  <si>
    <t>Прибор учета 1-ф Меркурий 201.2 зав.№46355649 - 1 шт.</t>
  </si>
  <si>
    <t>Электросвет ООО, Договор подряда № 677 от 23.12.2021</t>
  </si>
  <si>
    <t>Потапов Николай Александрович, Договор техприсоединения №212-21/1010 от 29.04.2021, Щит учета на ВЛИ-0,4кВ  ТП 610 сеть 3  , Чапаевский проезд, д.11</t>
  </si>
  <si>
    <t>Прибор учета 1-ф Меркурий 201.5 зав.№46308254 - 1 шт.</t>
  </si>
  <si>
    <t>Электросвет ООО, Договор подряда № 684 от 24.12.2021</t>
  </si>
  <si>
    <t>Старцев Владимир Николаевич, Договор техприсоединения №66-21/270 от 16.02.2021, Щит учета на ВЛИ-0,4 кВ КТП 1356 сеть 2, 4-й Светлый проезд, д.24</t>
  </si>
  <si>
    <t>Прибор учета 3-ф Меркурий 230 АМ-01 зав.№44865849 - 1 шт.</t>
  </si>
  <si>
    <t>Электросвет ООО, Договор подряда № 678 от 23.12.2021</t>
  </si>
  <si>
    <t>Трещев Владимир Викторович, Договор техприсоединения №392-20/3401 от 11.11.2020, Щит учета на ВЛИ-0,4кВ КТП 1298 сеть 2 ул. Севастопольская, кад. №71:30:030821:1096</t>
  </si>
  <si>
    <t>Прибор учета 3-ф Меркурий 230 АМ-01 зав.№44980442 - 1 шт.</t>
  </si>
  <si>
    <t>Геоземкадастр ООО, Договор подряда № 113 от 16.03.2022</t>
  </si>
  <si>
    <t>Воронин Александр Михайлович, Договор техприсоединения №451-20/4057 от 21.12.2020, Щит учета на ВЛИ-0,4кВ ТП 680 сеть 3 пер. Стандартный, кад. №71:30:04025:1938</t>
  </si>
  <si>
    <t>Прибор учета 3-ф Меркурий 230 АМ-01 зав.№43844692 - 1 шт.</t>
  </si>
  <si>
    <t>Электросвет ООО, Договор подряда № 115 от 17.03.2022</t>
  </si>
  <si>
    <t>Лепихова Ольга Витальевна, Договор техприсоединения №473-21/2550 от 27.09.2021, Щит учета на ВЛИ-0,4кВ КТП 1405 сеть 1 ул. Чкалова,. 9</t>
  </si>
  <si>
    <t>Прибор учета 3-ф Меркурий 230 АМ-01 зав.№46461026 - 1 шт.</t>
  </si>
  <si>
    <t>Разносилин Иван Иванович, Договор техприсоединения №49-21/172 от 08.02.2021, Щит учета на ВЛИ-0,4 кВ КТП 1251 сеть1 , ул. Головкова, кад. №71:30:030829:417</t>
  </si>
  <si>
    <t>Прибор учета 3-ф Меркурий 230 АМ-01 зав.№45646206 - 1 шт.</t>
  </si>
  <si>
    <t>Электросвет ООО, Договор подряда № 669 от 20.12.2021</t>
  </si>
  <si>
    <t>Тяжелова Татьяна Ивановна, Договор техприсоединения №102-21/414 от 09.03.2021, Щит учета на ВЛИ-0,4 кВ ТП 217 с. 4 , ул. Тульского рабочего полка, д.3</t>
  </si>
  <si>
    <t>Прибор учета 3-ф Меркурий 230 АМ-01 зав.№45666606 - 1 шт.</t>
  </si>
  <si>
    <t>Бирюков Денис Валентинович, Договор техприсоединения №115-21/525 от 16.03.2021, Щит учета на ВЛИ-0,4кВ  ТП 604 сеть 6  , пос. Трудовой, д.14</t>
  </si>
  <si>
    <t>Прибор учета 3-ф Меркурий 230 АМ-01 зав.№46458889 - 1 шт.</t>
  </si>
  <si>
    <t>Гавриленко Юрий Васильевич, Договор техприсоединения №476-21/2553 от 29.09.2021, Щит учета на ВЛИ-0,4кВ КТП 1249 сеть 2 пер. Колхозный, кад. №71:30:020510:576</t>
  </si>
  <si>
    <t>Прибор учета 3-ф Меркурий 230 АМ-01 зав.№45890437 - 1 шт.</t>
  </si>
  <si>
    <t>Юсова Наталья Александровна, Договор техприсоединения №87-21/371 от 02.03.2021, Щит учета на ВЛИ-0,4кВ ТП 502 сеть пер. Ягодный, д.2</t>
  </si>
  <si>
    <t>Прибор учета 3-ф Меркурий 230 АМ-01 зав.№46439530 - 1 шт.</t>
  </si>
  <si>
    <t>Кищук Наталия Викторовна, Договор техприсоединения №68-21/265 от 17.02.2021, Щит учета на ВЛИ-0,4 кВ КТП 1297  сеть 1 Северная часть Зареченского района, кад. №71:30:010803:95</t>
  </si>
  <si>
    <t>Прибор учета 3-ф Меркурий 230 АМ-01 зав.№44865820 - 1 шт.</t>
  </si>
  <si>
    <t>ЮТА ООО, Договор техприсоединения №464-21/2352 от 20.09.2021, Щит учета на ВЛИ-0,4кВ ТП 502 сеть Гарнизонный проезд, участок @103885</t>
  </si>
  <si>
    <t>Прибор учета 3-ф Меркурий 230 АМ-01 зав.№45890294 - 1 шт.</t>
  </si>
  <si>
    <t>Чупина Евгения Викторовна, Договор техприсоединения №394-20/3398 от 12.11.2020, Щит учета на ВЛИ-0,4кВ ТП 213 сеть 2 ул. Яблочкова, д.52а</t>
  </si>
  <si>
    <t>Прибор учета 3-ф Меркурий 230 АМ-01 зав.№44865797 - 1 шт.</t>
  </si>
  <si>
    <t>Кальченко Сергей Юрьевич, Договор техприсоединения №223-21/1007 от 12.05.2021, Щит учета на ВЛИ-0,4 кВ КТП 619 сеть 1, пос. Восточный, пос. Скуратовский, кад. №71:30:180101:520</t>
  </si>
  <si>
    <t>Прибор учета 3-ф Меркурий 230 АМ-01 зав.№44990914 - 1 шт.</t>
  </si>
  <si>
    <t>Электросвет ООО, Договор подряда №670 от 20.12.2021</t>
  </si>
  <si>
    <t>Жуков Сергей Анатольевич, Договор техприсоединения №278-21/1520 от 18.06.2021, Щит учета на ВЛИ-0,4 кВ КТП 791 с. 2 , ул. Скуратовская, д.78, кад. №71:30:080109:103</t>
  </si>
  <si>
    <t>Прибор учета 3-ф ПСЧ-4ТМ.05МК.24 зав.№45895535 - 1 шт.</t>
  </si>
  <si>
    <t>Болясов Михаил Владимирович, Договор техприсоединения №192-21/941 от 21.04.2021, Щит учета на ВЛИ-0,4кВ КТП 1212  сеть3, ул. Волжская, д.23, кад №71:30:020513:585</t>
  </si>
  <si>
    <t>Прибор учета 3-ф Меркурий 230 АМ-01 зав.№4546100 - 1 шт.</t>
  </si>
  <si>
    <t>Качейкин Александр Анатольевич, Договор техприсоединения №398-21/2194 от 17.08.2021, Щит учета на ВЛИ-0,4 кВ КТП 975 сеть 1-ый Михалковский пр., д.30</t>
  </si>
  <si>
    <t>Прибор учета 3-ф Меркурий 230 АМ-01 зав.№45890406 - 1 шт.</t>
  </si>
  <si>
    <t>Максимкина Елена Николаевна, Договор техприсоединения №405-21/2220 от 20.08.2021, Щит учета на ВЛИ-0,4кВ КТП 1371 с.2-ул. 2-я Криволученская, кад. №71:30:030302:635</t>
  </si>
  <si>
    <t>Прибор учета 3-ф Меркурий 230 АМ-01 зав.№45302865 - 1 шт.</t>
  </si>
  <si>
    <t>Ляченков Игорь Иванович, Договор техприсоединения №339-20/3097 от 08.10.2020, Щит учета на ВЛИ-0,4кВ ТП 1297 сеть №4, з/у 71:30:010805:9 СЧЗР</t>
  </si>
  <si>
    <t>Прибор учета 3-ф Меркурий 230 АМ-01 зав.№46473383 - 1 шт.</t>
  </si>
  <si>
    <t>ДИММЕР ООО, Договор подряда № 177 от 05.05.2021</t>
  </si>
  <si>
    <t>ВЫСОТА ООО, Договор техприсоединения №412-21/2187 от 25.08.2021, Щит учета на ВЛИ-0,4кВ ТП 1382 с. 1 ул. Киреевская@105007</t>
  </si>
  <si>
    <t>Прибор учета 3-ф Меркурий 230 АМ-01 зав.№44990913 - 1 шт.</t>
  </si>
  <si>
    <t>Сейранян Геворк Григорьевич, Договор техприсоединения №379-21/2061 от 10.08.2021, Щит учета на ВЛИ-0,4кВ КТП 1249 сеть 1 пер. Колхозный, кад. №71:30:020510:227</t>
  </si>
  <si>
    <t>Прибор учета 3-ф Меркурий 230 АМ-01 зав.№46459087 - 1 шт.</t>
  </si>
  <si>
    <t>Перфильев Вадим Владимирович, Договор техприсоединения №325-22 от 11.04.2022, Щит учета на ВЛИ-0,4 кВ КТП 1253 сеть 2 пр-д 1-й Газовый, д.40</t>
  </si>
  <si>
    <t>Прибор учета 3-ф Меркурий 230 АМ-01 зав.№45891736 - 1 шт.</t>
  </si>
  <si>
    <t>ЮТА ООО, Договор техприсоединения №465-21/2351 от 20.09.2021, Щит учета на ВЛИ-0,4кВ КТП 1445 сеть 1, ул. Большая, участок @104812</t>
  </si>
  <si>
    <t>Прибор учета 3-ф Меркурий 230 АМ-01 зав.№46459034 - 1 шт.</t>
  </si>
  <si>
    <t>Фунтиков Александр Владимирович, Договор техприсоединения №253-21/1480 от 07.06.2021, Щит учета на ВЛИ-0,4 кВ КТП 1301сеть 3 3-й Светлый проезд, з/у №71:30:060502:248</t>
  </si>
  <si>
    <t>Прибор учета 3-ф Меркурий 230 АМ-01 зав.№45891728 - 1 шт.</t>
  </si>
  <si>
    <t>Гавриленко Юрий Васильевич, Договор техприсоединения №477-21/2554 от 29.09.2021, Щит учета на ВЛИ-0,4кВ КТП 1249 сеть 2 пер. Колхозный, кад. №71:30:020510:575</t>
  </si>
  <si>
    <t>Прибор учета 3-ф Меркурий 230 АМ-01 зав.№45890427 - 1 шт.</t>
  </si>
  <si>
    <t>Наумчук Нина Владимировна, Договор техприсоединения №158-21/810 от 07.04.2021, Щит учета на ВЛИ-0,4 кВ КТП 1326 сеть 1  3-й Газовый, д.45</t>
  </si>
  <si>
    <t>Прибор учета 3-ф Меркурий 230 АМ-01 зав.№45879003 - 1 шт.</t>
  </si>
  <si>
    <t>Лосев Алексей Сергеевич, Договор техприсоединения №452-20/4061 от 21.12.2020, Щит учета на ВЛИ-0,4кВ КТП 1298 сеть 1 ул. Севастопольская, уч.28а,кад. №71:30:030821:1092</t>
  </si>
  <si>
    <t>Прибор учета 3-ф Меркурий 230 АМ-01 зав.№44990959 - 1 шт.</t>
  </si>
  <si>
    <t>Осетров Олег Юрьевич, Договор техприсоединения №423-21/2238 от 31.08.2021, Щит учета на ВЛИ-0,4 кВ ТП 672 с.1 ул. 2,3-я Песчаная, кад. №71:30:030215:2532</t>
  </si>
  <si>
    <t>Прибор учета 3-ф Меркурий 230 АМ-01 зав.№45891730 - 1 шт.</t>
  </si>
  <si>
    <t>Будилина Надежда Николаевна, Договор техприсоединения №18-21/4146 от 21.01.2021, Щит учета на ВЛИ-0,4кВ ТП 684 сеть 2, ул. Леваневского, кад. №71:30:050306:1771</t>
  </si>
  <si>
    <t>Прибор учета 3-ф Меркурий 230 АМ-01 зав.№45890329 - 1 шт.</t>
  </si>
  <si>
    <t>Савельев Юрий Петрович, Договор техприсоединения №391-20/3402 от 11.11.2020, Щит учета на ВЛИ-0,4кВ ТП 392 сеть 2 ул. Агеева, д.24а</t>
  </si>
  <si>
    <t>Прибор учета 3-ф Меркурий 230 АМ-01 зав.№45292198 - 1 шт.</t>
  </si>
  <si>
    <t>Джабарова Ольга Владимировна, Договор техприсоединения №423-20/3881 от 08.12.2020, Щит учета на ВЛИ-0,4кВ ТП 783, сеть 3,  з/у 71:14:030601:3551 д. Зимаровка</t>
  </si>
  <si>
    <t>Прибор учета 3-ф Меркурий 230 АМ-01 зав.№45152267 - 1 шт.</t>
  </si>
  <si>
    <t>ДИММЕР ООО, Договор подряда № 406 от 03.08.2021</t>
  </si>
  <si>
    <t>Филатов Артур Борисович, Договор техприсоединения №436-21/2191 от 07.09.2021, Щит учета на ВЛИ-0,4кВ КТП 1279 сеть 2 ул. Горельская, д.128 (2-ой Светлый проезд, д.18)</t>
  </si>
  <si>
    <t>Прибор учета 3-ф Меркурий 230 АМ-01 зав.№45567431 - 1 шт.</t>
  </si>
  <si>
    <t>Ильинчик Александр Александрович, Договор техприсоединения №422-21/2222 от 30.08.2021, Щит учета на ВЛИ-0,4кВ ТП 818 сеть 1 ул. Подъемная, д.8а</t>
  </si>
  <si>
    <t>Прибор учета 3-ф Меркурий 230 АМ-01 зав.№45879065 - 1 шт.</t>
  </si>
  <si>
    <t>Коскелло Ольга Владимировна, Договор техприсоединения №399-21/2195 от 17.08.2021, Щит учета на ВЛИ-0,4кВ КТП 1310 сеть 4 пер. Поддубный, кад. №71:30:060401:684</t>
  </si>
  <si>
    <t>Прибор учета 3-ф Меркурий 230 АМ-01 зав.№45890284 - 1 шт.</t>
  </si>
  <si>
    <t>Ибрагимов Ильнур Фанисович, Договор техприсоединения №247-21/1323 от 31.05.2021, Щит учета на ВЛИ-0,4кВ КТП 1297 с.2- 1-й Благодатный пр-д кад. №71:30:010804:36</t>
  </si>
  <si>
    <t>Прибор учета 3-ф Меркурий 230 АМ-01 зав.№46217189 - 1 шт.</t>
  </si>
  <si>
    <t>Назаров Дмитрий Владимирович, Договор техприсоединения №265-21/1508 от 10.06.2021, Щит учета на ВЛИ-0,4кВ ТП 378 сеть 1  ул Баженова, з/у кад. №71:30:030801:3748</t>
  </si>
  <si>
    <t>Прибор учета 3-ф Меркурий 230 АМ-01 зав.№45645835 - 1 шт.</t>
  </si>
  <si>
    <t>Соболева Дарья Александровна, Договор техприсоединения №215-21/1012 от 29.04.2021, Щит учета на ВЛИ-0,4кВ КТП 1301-с.3 , Северо-Восточ ч. п.Горелки, пл.2, уч.127, кад №71:30:060502:15</t>
  </si>
  <si>
    <t>Прибор учета 3-ф Меркурий 230 АМ-01 зав.№46022354 - 1 шт.</t>
  </si>
  <si>
    <t>Сливка Анастасия Сергеевна, Договор техприсоединения №261-21/1478 от 08.06.2021, Щит учета на ВЛИ-0,4кВ  КТП 1347 сеть 2,Северная часть Зареченского района, кад. №71:30:010804:132</t>
  </si>
  <si>
    <t>Прибор учета 3-ф Меркурий 230 АМ-01 зав.№45890244 - 1 шт.</t>
  </si>
  <si>
    <t>Хохлов Николай Валериевич, Договор техприсоединения №220-21/1162 от 11.05.2021, Щит учета на ВЛИ-0,4кВ КТП 1350 с. 2 19-ый Горельский пр-д, д.4</t>
  </si>
  <si>
    <t>Прибор учета 3-ф Меркурий 230 АМ-01 зав.№45572306 - 1 шт.</t>
  </si>
  <si>
    <t>Баздырев Денис Валерьевич, Договор техприсоединения №397-21/2196 от 17.08.2021, Щит учета на ВЛИ-0,4кВ КТП 1310 сеть 4 пер. Поддубный, кад. №71:30:060401:686</t>
  </si>
  <si>
    <t>Прибор учета 3-ф Меркурий 230 АМ-01 зав.№45890258 - 1 шт.</t>
  </si>
  <si>
    <t>Тихонова Галина Анатольевна, Договор техприсоединения №401-21/2223 от 19.08.2021, Щит учета на ВЛИ-0,4кВ КТП 1086 сеть 4 п. Октябрьский, з/у кад. №71:30:010504:372</t>
  </si>
  <si>
    <t>Прибор учета 3-ф Меркурий 230 АМ-01 зав.№46217196 - 1 шт.</t>
  </si>
  <si>
    <t>Шепелев Роман Александрович, Договор техприсоединения №240-21/1328 от 25.05.2021, Щит учета на ВЛ-0,4кВ ТП 491 ул. З.Космодемьянской, кад. №71:30:020622:971</t>
  </si>
  <si>
    <t>Прибор учета 3-ф Меркурий 230 АМ-01 зав.№46459012 - 1 шт.</t>
  </si>
  <si>
    <t>Булавина Вера Николаевна, Договор техприсоединения №313-21/1729 от 05.07.2021, Щит учета на ВЛ-0,4кВ ТП 908 сеть 3 ул. Лесная, д.7</t>
  </si>
  <si>
    <t>Прибор учета 3-ф Меркурий 230 АМ-01 зав.№46433470 - 1 шт.</t>
  </si>
  <si>
    <t>Храмов Сергей Геннадьевич, Договор техприсоединения №224-21/1161 от 12.05.2021, Щит учета на ВЛИ-0,4кВ ТП 680 сеть 3 пер. Стандартный, кад. №71:30:04025:1937</t>
  </si>
  <si>
    <t>Прибор учета 3-ф Меркурий 230 АМ-01 зав.№45292217 - 1 шт.</t>
  </si>
  <si>
    <t>Скрипченко Сергей Владимирович, Договор техприсоединения №453-20/4060 от 21.12.2020 , Щит учета на ВЛИ-0,4кВ КТП 1298 сеть 1 ул. Севастопольская, кад. №71:30:030821:1093</t>
  </si>
  <si>
    <t>Прибор учета 3-ф Меркурий 230 АМ-01 зав.№44990981 - 1 шт.</t>
  </si>
  <si>
    <t>Ходин Валерий Иванович, Договор техприсоединения №126-21/583 от 22.03.2021, Щит учета на ВЛИ-0,4кВ ТП 200 сеть 2 ул. Нестерова, д.55-в</t>
  </si>
  <si>
    <t>Прибор учета 3-ф Энергомера ЦЭ6803В 1 230В зав.№0110741173219039 - 1 шт.</t>
  </si>
  <si>
    <t>Анученков Сергей Александрович, Договор техприсоединения №306-21/1711 от 01.07.2021, Щит учета на ВЛИ-0,4кВ КТП 1404 сеть 3 ул.1-ый Квартал, д.16, кад. №71:30:090302:86</t>
  </si>
  <si>
    <t>Прибор учета 3-ф Меркурий 230 АМ-01 зав.№45840749 - 1 шт.</t>
  </si>
  <si>
    <t>Миронова Елена Александровна, Договор техприсоединения №155-21/742 от 05.04.2021, Щит учета на ВЛИ-0,4кВ  КТП 1261 сеть 1  , ул. Ак. Павлова, №71:30:050306:1649</t>
  </si>
  <si>
    <t>Прибор учета 3-ф Меркурий 230 АМ-01 зав.№45840788 - 1 шт.</t>
  </si>
  <si>
    <t>Данилова Светлана Александровна, Договор техприсоединения №85-21/370 от 01.03.2021, Щит учета на ВЛИ-0,4 кВ КТП 1341  сеть 3 Северная часть Зареченского района, кад. №71:30:010805:31</t>
  </si>
  <si>
    <t>Прибор учета 3-ф Меркурий 230 АМ-01 зав.№44865891 - 1 шт.</t>
  </si>
  <si>
    <t>Нестеркин Александр Станиславович, Договор техприсоединения 337-21/1613 от 16.07.2021, Щит учета на ВЛИ-0,4кВ ТП 612 с. 5 пос. Западный, ул. Тургенева/ ул. Пушкина, д.42/14</t>
  </si>
  <si>
    <t>Прибор учета 3-ф Меркурий 230 АМ-01 зав.№45890491 - 1 шт.</t>
  </si>
  <si>
    <t>Юшев Сергей Евгеньевич, Договор техприсоединения №100-21/445 от 05.03.2021, Щит учета на ВЛИ-0,4кВ  КТП 1213 сеть 2 ул. Тверская, кад. №71:30:020511:714</t>
  </si>
  <si>
    <t>Прибор учета 3-ф Меркурий 230 АМ-01 зав.№44038244 - 1 шт.</t>
  </si>
  <si>
    <t>Курбатова Наталья Николаевна, Договор техприсоединения №403-20/3511 от 16.11.2020, Щит учета на ВЛИ-0,4кВ КТП 832 сеть 4 ул. Хомяковская, Д.8-Б</t>
  </si>
  <si>
    <t>Прибор учета 3-ф Меркурий 230 АМ-01 зав.№46436057 - 1 шт.</t>
  </si>
  <si>
    <t>Брусенко Наталья Александровна, Договор техприсоединения №5-21/3961 от 12.01.2021, Щит учета на ВЛИ-0,4кВ КТП 1304 сеть 1  ул.Р. Люксембург, з/у кад. №71:30:050104:761</t>
  </si>
  <si>
    <t>Прибор учета 3-ф Меркурий 230 АМ-01 зав.№46087662 - 1 шт.</t>
  </si>
  <si>
    <t>Миронова Елена Александровна, Договор техприсоединения №125-21/582 от 22.03.2021, Щит учета на ВЛИ-0,4кВ  КТП 1213 сеть 2 ул. Тверская, кад. №71:30:020511:739</t>
  </si>
  <si>
    <t>Прибор учета 3-ф Меркурий 230 АМ-01 зав.№44038249 - 1 шт.</t>
  </si>
  <si>
    <t>Кабиров Алексей Тимурович, Договор техприсоединения №122-21/538 от 22.03.2021, Щит учета на ВЛИ-0,4 кВ КТП 1246 с. 2 , ул. Шевченко,69, кад. №71:30:050305:137</t>
  </si>
  <si>
    <t>Прибор учета 3-ф Меркурий 230 АМ-01 зав.№45890500 - 1 шт.</t>
  </si>
  <si>
    <t>Гаврилов Руслан Вячеславович, Договор техприсоединения №252-20/2633 от 28.08.2020, Щит учета на ВЛИ-0,4кВ КТП 1245 сеть 1 ул. Маяковского,д. 15В, з/у кад. №71:30:030114:3210</t>
  </si>
  <si>
    <t>Прибор учета 3-ф Меркурий 230 АМ-01 зав.№42714797 - 1 шт.</t>
  </si>
  <si>
    <t>Панфилов Сергей Львович, Договор техприсоединения №353-21/1501 от 27.07.2021, Щит учета на ВЛИ-0,4кВ КТП 1395 сеть 3  6-й пр-д п. Октябрьский, уч.41 кад №71:30:010410:12</t>
  </si>
  <si>
    <t>Прибор учета 3-ф Меркурий 230-АМ-01 зав.№46435965 - 1 шт.</t>
  </si>
  <si>
    <t>Осетров Олег Юрьевич, Договор техприсоединения №429-21/2312 от 03.09.2021, Щит учета на ВЛИ-0,4 кВ ТП 672 с.1 ул. 2,3-я Песчаная, кад. №71:30:030215:2531</t>
  </si>
  <si>
    <t>Прибор учета 3-ф Меркурий 230 АМ-01 зав.№45891733 - 1 шт.</t>
  </si>
  <si>
    <t>Торосян Кристине Хачиковна, Договор техприсоединения №312-21/1771 от 05.07.2021, Щит учета на ВЛИ-0,4кВ КТП 1301 сеть 3 пр-д 3-й Светлый проезд, уч.8, кад. №71:30:060502:247</t>
  </si>
  <si>
    <t>Прибор учета 3-ф Меркурий 230 АМ-01 зав.№45572365 - 1 шт.</t>
  </si>
  <si>
    <t>Дубовская Анастасия Анатольевна, Договор техприсоединения №67-21/263 от 16.02.2021, Щит учета на ВЛИ-0,4кВ  ТП 543 сеть 3  , ул. Пузаков, д.54-а, кад. №71:30:010218:8921</t>
  </si>
  <si>
    <t>Прибор учета 3-ф Меркурий 230 АМ-01 зав.№44901519 - 1 шт.</t>
  </si>
  <si>
    <t>Грузевич Геннадий Петрович, Договор техприсоединения №373-21/2041 от 09.08.2021, Щит учета на ВЛИ-0,4кВ КТП 1212 сеть 2 ул. Окская, кад. №71:30:000000:9651</t>
  </si>
  <si>
    <t>Прибор учета 3-ф Меркурий 230 АМ-01 зав.№45890440 - 1 шт.</t>
  </si>
  <si>
    <t>Мендельсон Эдуард Львович, Договор техприсоединения №251-20/2614 от 28.08.2020, Щит учета на ВЛИ-0,4кВ КТП 1041 сеть 2 ул. Светлая, уч.81, з/у кад. №71:30:060502:177</t>
  </si>
  <si>
    <t>Прибор учета 3-ф Меркурий 230 АМ-01 зав.№42714813 - 1 шт.</t>
  </si>
  <si>
    <t>Ломако Александр Владимирович, Договор техприсоединения №234-20/2404 от 13.08.2020, Щит учета на ВЛИ-0,4кВ КТП 1245 сеть 1 ул. Маяковского,д. 7</t>
  </si>
  <si>
    <t>Прибор учета 3-ф Меркурий 230 АМ-01 зав.№42714549 - 1 шт.</t>
  </si>
  <si>
    <t>Илюхин Михаил Викторович, Договор техприсоединения №43-21/128 от 03.02.2021, Щит учета на ВЛИ-0,4кВ ТП 369 сеть 1 ул. Дементьева, уч.58, кад. №71:30:030804:102</t>
  </si>
  <si>
    <t>Прибор учета 3-ф Меркурий 230 АМ-01 зав.№46017289 - 1 шт.</t>
  </si>
  <si>
    <t>Козлова Юлия Алексеевна, Договор техприсоединения №170-21/842 от 09.04.2021, Щит учета на ВЛИ-0,4кВ КТП 1306 с.2 д. Ивановка, участок 108, с кад. №71:14:020703:734</t>
  </si>
  <si>
    <t>Прибор учета 3-ф Меркурий 230 АМ-01 зав.№46017313 - 1 шт.</t>
  </si>
  <si>
    <t>Земцова Юлия Алексеевна, Договор техприсоединения №236-21/962 от 24.05.2021, Щит учета на ВЛИ-0,4кВ ТП 617 сеть 6, пос. Южный, ул. Шахтерская, д.30</t>
  </si>
  <si>
    <t>Прибор учета 3-ф Меркурий 230 АМ-01 зав.№44990921 - 1 шт.</t>
  </si>
  <si>
    <t>Юдин Валерий Валерьевич, Договор техприсоединения №376-20/3363 от 02.11.2020, Щит учета на ВЛИ-0,4 кВ КТП 1297  сеть 1 Северная часть Зареченского района, кад. №71:30:010804:40</t>
  </si>
  <si>
    <t>Прибор учета 3-ф Меркурий 230 АМ-01 зав.№45878967 - 1 шт.</t>
  </si>
  <si>
    <t>Конова Людмила Николаевна, Договор техприсоединения № 517-21/2788 от 15.10.2021, Щит учета на ВЛИ-0,4кВ КТП 1242 сеть1 ул. Ромашковая, з/у  кад. №71:14:040401:10430</t>
  </si>
  <si>
    <t>Прибор учета 3-ф Меркурий 230 АМ-01 зав.№46435892 - 1 шт.</t>
  </si>
  <si>
    <t>Майорова Татьяна Викторовна, Договор техприсоединения №463-21/2419 от 20.09.2021, Щит учета на ВЛИ-0,4кВ ТП 197 сеть 2 ул. Куренкова, д.45</t>
  </si>
  <si>
    <t>Прибор учета 3-ф Меркурий 230-АМ-01 зав.№45572562 - 1 шт.</t>
  </si>
  <si>
    <t>Зайцев Владимир Александрович, Договор техприсоединения №369-21/2088 от 05.08.2021, Щит учета на ВЛИ-0,4кВ ТП 684 с.1 ул. Щорса, д.41, кад. №71:30:050306:243</t>
  </si>
  <si>
    <t>Прибор учета 3-ф Меркурий 230 АМ-01 зав.№46459071 - 1 шт.</t>
  </si>
  <si>
    <t>Трошкин Сергей Александрович, Договор техприсоединения №450-21/2305 от 13.09.2021, Щит учета на ВЛИ-0,4кВ КТП 1225 сеть 3 п. Октябрьский, 29-й проезд, д.28</t>
  </si>
  <si>
    <t>Прибор учета 3-ф Меркурий 230-АМ-01 зав.№46579508 - 1 шт.</t>
  </si>
  <si>
    <t>Хромова Татьяна Геннадиевна, Договор техприсоединения №218-21/1009 от 11.05.2021, Щит учета на ВЛИ-0,4кВ ТП 198 сеть 1 ул. Ложевая, д.1-б, кад. №71:30:030109:42</t>
  </si>
  <si>
    <t>Прибор учета 3-ф Меркурий 230 АМ-01 зав.№46439499 - 1 шт.</t>
  </si>
  <si>
    <t>Радевич Николай Михайлович, Договор техприсоединения №190-21/879 от 16.04.2021, Щит учета на ВЛИ-0,4кВ КТП 1349 сеть 1 ул. Костычева, з/у №71:30:020603:4744</t>
  </si>
  <si>
    <t>Прибор учета 3-ф Меркурий 230 АМ-01 зав.№46472540 - 1 шт.</t>
  </si>
  <si>
    <t>Хардыбакин Алексей Владимирович, Договор техприсоединения №130-21/585 от 23.03.2021, Щит учета на ВЛИ-0,4кВ КТП 1349 сеть 1 ул. Костычева, з/у №71:30:020603:4745</t>
  </si>
  <si>
    <t>Прибор учета 3-ф Меркурий 230 АМ-01 зав.№45895919 - 1 шт.</t>
  </si>
  <si>
    <t>Никонова Надежда Александровна, Договор техприсоединения №519-21/2787 от 19.10.2021, Щит учета на ВЛИ-0,4кВ КТП 1245 сеть 1 ул. Маяковского, д.20, з/у кад. №71:30:030114:3189</t>
  </si>
  <si>
    <t>Прибор учета 3-ф Меркурий 230 АМ-01 зав.№46439493 - 1 шт.</t>
  </si>
  <si>
    <t>Шепелев Роман Александрович, Договор техприсоединения №335-21/1686 от 16.07.2021, Щит учета на ВЛ-0,4кВ ТП 117 сеть 1 ул. Тульская, з/у кад. №71:30:020622:972</t>
  </si>
  <si>
    <t>Прибор учета 3-ф Меркурий 230 АМ-01 зав.№45890441 - 1 шт.</t>
  </si>
  <si>
    <t>Кулаков Сергей Александрович, Договор техприсоединения №230-21/1150 от 20.05.2021, Щит учета на ВЛИ-0,4кВ ТП 602 сеть 1 ул. Л. Толстого, з/у кад. №71:30:090201:1178</t>
  </si>
  <si>
    <t>Прибор учета 3-ф Меркурий 230 АМ-01 зав.№45651463 - 1 шт.</t>
  </si>
  <si>
    <t>Осетров Олег Юрьевич, Договор техприсоединения №431-21/2313 от 03.09.2021, Щит учета на ВЛИ-0,4 кВ ТП 672 с.1 ул. 2,3-я Песчаная, кад. №71:30:030215:2534</t>
  </si>
  <si>
    <t>Прибор учета 3-ф Меркурий 230 АМ-01 зав.№45878884 - 1 шт.</t>
  </si>
  <si>
    <t>Скворцов Александр Алексеевич, Договор техприсоединения №63-21/268 от 16.02.2021, Щит учета на ВЛ-0,4кВ ТП 732 с.2 ул. Комсомольская, уч.36-а, кад. №71:30:080218:693</t>
  </si>
  <si>
    <t>Прибор учета 3-ф Меркурий 230 АМ-01 зав.№46290936 - 1 шт.</t>
  </si>
  <si>
    <t>Романова Ирина Леонидовна, Договор техприсоединения №360-21/2036 от 02.08.2021, Щит учета на ВЛИ-0,4кВ КТП 1347 сеть 1, Северная часть Зареченского района, кад. №71:30:010803:22</t>
  </si>
  <si>
    <t>Прибор учета 3-ф Меркурий 230 АМ-01 зав.№46217180 - 1 шт.</t>
  </si>
  <si>
    <t>Бирюков Михаил Владимирович, Договор техприсоединения №191-21/880 от 16.04.2021, Щит учета на ВЛИ-0,4кВ КТП 1349 сеть 1 ул. Костычева, з/у №71:30:020603:4742</t>
  </si>
  <si>
    <t>Прибор учета 3-ф Меркурий 230 АМ-01 зав.№46087657 - 1 шт.</t>
  </si>
  <si>
    <t>Генчева Ольга Петровна, Договор техприсоединения №213-21/1005 от 29.04.2021, Щит учета на ВЛИ-0,4кВ КТП 1314 сеть1 ул. Михалковская, д.40</t>
  </si>
  <si>
    <t>Прибор учета 3-ф Меркурий 230 АМ-01 зав.№45890447 - 1 шт.</t>
  </si>
  <si>
    <t>Геоземкадастр ООО, Договор подряда № 31-3 от 04.02.2022</t>
  </si>
  <si>
    <t>Антонова Наталья Алексеевна, Договор техприсоединения №345-21/1948 от 23.07.2021, Щит учета на ВЛИ-0,4кВ КТП 1250 сеть 4, ул. Шевченко, д.33</t>
  </si>
  <si>
    <t>Прибор учета 3-ф Меркурий 230 АМ-01 зав.№46458761 - 1 шт.</t>
  </si>
  <si>
    <t>Осетров Олег Юрьевич, Договор техприсоединения №430-21/2314 от 03.09.2021, Щит учета на ВЛИ-0,4 кВ ТП 672 с.1 ул. 2,3-я Песчаная, кад. №71:30:030215:2533</t>
  </si>
  <si>
    <t>Прибор учета 3-ф Меркурий 230 АМ-01 зав.№45878834 - 1 шт.</t>
  </si>
  <si>
    <t>Агафонов Олег Викторович, Договор техприсоединения №269-21/1476 от 17.06.2021, Щит учета на ВЛИ-0,4 кВ от  КТП 1245 с.2 ул. Каракозова, д.72, кад. №71:30:030113:19</t>
  </si>
  <si>
    <t>Прибор учета 3-ф Меркурий 230 АМ-01 зав.№46305205 - 1 шт.</t>
  </si>
  <si>
    <t>Волков Артем Сергеевич, Договор техприсоединения №504-21/2786 от 13.10.2021, Щит учета на ВЛ-0,4кВ КТП 854 с.1-п. Октябрьский,17 проезд, д.25</t>
  </si>
  <si>
    <t>Прибор учета 3-ф Меркурий 230 АМ-01 зав.№46459043 - 1 шт.</t>
  </si>
  <si>
    <t>Грузевич Геннадий Петрович, Договор техприсоединения №340-21/1774 от 20.07.2021, Щит учета на ВЛИ-0,4кВ КТП 1212 сеть 2 ул. Самарская, кад. №71:30:000000:9653</t>
  </si>
  <si>
    <t>Прибор учета 3-ф Меркурий 230 АМ-01 зав.№45890405 - 1 шт.</t>
  </si>
  <si>
    <t>Скоробогатько Наталья Александровна, Договор техприсоединения №232-20/2289 от 13.08.2020, Щит учета на ВЛИ-0,4кВ ТП 745 сеть 4 село Маслово, кад. № 71:14:040401:5640</t>
  </si>
  <si>
    <t>Прибор учета 3-ф Меркурий 230 АМ-01 зав.№42714986 - 1 шт.</t>
  </si>
  <si>
    <t>Шишкина Александра Владимировна, Договор техприсоединения №174-21/839 от 09.04.2021, Щит учета на ВЛИ-0,4кВ ТП 107 с. 4 ул. Б.Кулига, З/У КАД. №71:30:020105:1520</t>
  </si>
  <si>
    <t>Прибор учета 3-ф Меркурий 230 АМ-01 зав.№46017242 - 1 шт.</t>
  </si>
  <si>
    <t>Костырина Галина Петровна, Договор техприсоединения №406-21/2236 от 20.08.2021, Щит учета на ВЛИ-0,4кВ КТП 1314 сеть 3, ул. Косогорская,д.18а, з/у кад. №71:30:020511:737</t>
  </si>
  <si>
    <t>Прибор учета 3-ф Меркурий 230 АМ-01 зав.№45879941 - 1 шт.</t>
  </si>
  <si>
    <t>Манучарян Асмик Жораевна, Договор техприсоединения №518-21/2790 от 19.10.2021, Щит учета на ВЛИ-0,4кВ ТП 690 сеть 7 ул. Колхозная, д. 76</t>
  </si>
  <si>
    <t>Прибор учета 3-ф Меркурий 230 АМ-01 зав.№45645994 - 1 шт.</t>
  </si>
  <si>
    <t>МБОУ ЦО № 5  им. Громова, Договор техприсоединения №389-21/1807 от 13.08.2021, Щит учета на КЛ-0,4кВ КТП 1055 -ул. Макаренко,31</t>
  </si>
  <si>
    <t>Прибор учета 3-ф Меркурий 230 АМ-02 зав.№46893236 - 1 шт.</t>
  </si>
  <si>
    <t>Михайлова Галина Валентиновна, Договор техприсоединения №338-20/3093 от 07.10.2020, Щит учета на ВЛИ-0,4 кВ КТП 1212 сеть 2 , ул. Косогорская, д.19, кад. №71:30:020511:701</t>
  </si>
  <si>
    <t>Прибор учета 3-ф Меркурий 230 АМ-01 зав.№45666628 - 1 шт.</t>
  </si>
  <si>
    <t>Воробьев Леонид Викторович, Договор техприсоединения №565-21/3217 от 19.11.2021, Щит учета на ВЛИ-0,4кВ КТП 1116 сеть 1 ул. Самарская, д. 3-Б</t>
  </si>
  <si>
    <t>Прибор учета 3-ф Меркурий 230 М-01 зав.№45646249 - 1 шт.</t>
  </si>
  <si>
    <t>Геоземкадастр ООО, Договор подряда № 190 от 18.05.2022</t>
  </si>
  <si>
    <t>Петровский Эдуард Михайлович, Договор техприсоединения №390-20/3399 от 11.11.2020, Щит учета на ВЛИ-0,4кВ КТП 1249 сеть 1 пер. Колхозный, д.32, кад. №71:30:020509:74</t>
  </si>
  <si>
    <t>Прибор учета 3-ф Меркурий 230 АМ-01 зав.№46439931 - 1 шт.</t>
  </si>
  <si>
    <t>Амелин Дмитрий Юрьевич, Договор техприсоединения №142-21/745 от 31.03.2021, Щит учета на ВЛИ-0,4кВ  сеть 2 КТП 1297 Северная часть Зареченского района, кад. №71:30:010804:64</t>
  </si>
  <si>
    <t>Прибор учета 3-ф Меркурий 230 АМ-01 зав.№45890370 - 1 шт.</t>
  </si>
  <si>
    <t>Электросвет ООО, Договор подряда № 656 от 16.12.2021</t>
  </si>
  <si>
    <t>Андреева Екатерина Николаевна, Договор техприсоединения №206-21/1004 от 28.10.2021, Щит учета на ВЛИ-0,4кВ КТП 1239 сеть 1 ул. Фурманова, д.7</t>
  </si>
  <si>
    <t>Прибор учета 3-ф ПСЧ-4ТМ.05МК.22.01 зав.№1119210823 - 1 шт.</t>
  </si>
  <si>
    <t>Вешнякова Олеся Игоревна, Договор техприсоединения №421-21 от 30.08.2021, Щит учета на ВЛИ-0,4кВ КТП 619 сеть 2, пос. Восточный, 48б, з/у кад. №71:30:180101:312</t>
  </si>
  <si>
    <t>Прибор учета 3-ф Меркурий 230 АМ-01 зав.№46439963 - 1 шт.</t>
  </si>
  <si>
    <t>Шаталина Ольга Анатольевна, Договор техприсоединения 404-21/2244 от 20.08.2021, Щит учета на ВЛИ-0,4кВ КТП 1253 сеть 2, 1-ый Газовый пр-д, д.30</t>
  </si>
  <si>
    <t>Прибор учета 3-ф Меркурий 230 АМ-01 зав.№45879010-21 - 1 шт.</t>
  </si>
  <si>
    <t>Шаламова Евгения Александровна, Договор техприсоединения №342-21/1947 от 22.07.2021, Щит учета на ВЛИ-0,4кВ КТП 1266 сеть ул. Болотникова, д.14</t>
  </si>
  <si>
    <t>Прибор учета 3-ф Меркурий 230 АМ-01 зав.№45891815 - 1 шт.</t>
  </si>
  <si>
    <t>Горбунова Наталья Леонидовна, Договор техприсоединения №303-21/1728 от 30.06.2021, Щит учета на ВЛИ-0,4кВ КТП 1245 сеть 1, ул. Кольцова, уч..4, кад. №71:30:030113:5027</t>
  </si>
  <si>
    <t>Прибор учета 3-ф Меркурий 230 АМ-01 зав.№46021555-21 - 1 шт.</t>
  </si>
  <si>
    <t>Комитет по делам записи актов гражданского состояния и обеспечению деятельности мировых судей в Туле, Договор техприсоединения №97-21/334 от 04.03.2021, Щит учета на ВЛИ-0,4кВ ТП 807 сеть 2, д.29/11 ул. Металлургов/ул. Аносова</t>
  </si>
  <si>
    <t>Прибор учета 3-ф Меркурий 230 АМ-01 зав.№45556805 - 1 шт.</t>
  </si>
  <si>
    <t>Электросвет ООО, Договор подряда № 535 от 15.10.2021</t>
  </si>
  <si>
    <t>Хромых Ольга Александровна, Договор техприсоединения №88-21/372 от 02.03.2021, Щит учета на ВЛИ-0,4кВ КТП 1427 сеть 2, ул. Центральная,д.5а</t>
  </si>
  <si>
    <t>Прибор учета 3-ф Меркурий 230 АМ-01 зав.№46290948 - 1 шт.</t>
  </si>
  <si>
    <t>Раков Николай Павлович, Договор техприсоединения №374-20/3371 от 02.11.2020, Щит учета на ВЛИ-0,4кВ ТП 831 сеть 1 п. Хомяково, ул. Березовская,  кад № 71:30:060704:403</t>
  </si>
  <si>
    <t>Прибор учета 3-ф Меркурий 230 АМ-01 зав.№44038287 - 1 шт.</t>
  </si>
  <si>
    <t>Киреев Сергей Викторович, Договор техприсоединения №235-21/1325 от 24.05.2021, Щит учета на ВЛИ-0,4кВ ТП 1364- сеть 1,Северная часть Зареченского р-на,уч 65, кад. №71:30:010807:81</t>
  </si>
  <si>
    <t>Прибор учета 3-ф Меркурий 230 АМ-01 зав.№45878874 - 1 шт.</t>
  </si>
  <si>
    <t>Грузевич Геннадий Петрович, Договор техприсоединения №608-21/2979 от 02.12.2021, Щит учета на ВЛИ-0,4кВ КТП 1212 сеть 1 ул. Самарская, з/у кад. №71:30:020512:549</t>
  </si>
  <si>
    <t>Прибор учета 3-ф Меркурий 230-АМ01 зав.№47024645 - 1 шт.</t>
  </si>
  <si>
    <t>ООО "Компания Электромонтаж", Договор подряда № 252 от 08.07.2022</t>
  </si>
  <si>
    <t>ИП Власов Михаил Аркадьевич, Договор техприсоединения №384-21/2118 от 12.08.2021, Щит учета на ВЛИ-0,4кВ ТП 189 сеть 3 ул. Октябрьская, на фасаде д. 16</t>
  </si>
  <si>
    <t>Прибор учета 3-ф Меркурий 230 АМ-02 зав.№46794242 - 1 шт.</t>
  </si>
  <si>
    <t>Старцев Владимир Николаевич, Договор техприсоединения №510-21/2789 от 13.10.2021, Щит учета на ВЛИ-0,4кВ КТП 1441 сеть 3 пр-д 4-й Клинской,кад.№71:30:020105:1240</t>
  </si>
  <si>
    <t>Прибор учета 3-ф Меркурий 230 АМ-01 зав.№45646250 - 1 шт.</t>
  </si>
  <si>
    <t>Дорошева Галина Камиловна, Договор техприсоединения №255-21/1137 от 07.06.2021, Щит учета на ВЛИ-0,4кВ КТП 1086 сеть 2, ул. Фестивальная, з/у №71:30:010511:417</t>
  </si>
  <si>
    <t>Прибор учета 3-ф Меркурий 230-AM01 зав.№468939916 - 1 шт.</t>
  </si>
  <si>
    <t>Воробьев Алексей Анатольевич, Договор техприсоединения №181-21/884 от 14.04.2021, Щит учета на ВЛИ-0,4кВ КТП 1466 сеть 2 п.Горняк,СТ Сад 2 УВД, з/у кад.№71:30:080415:7</t>
  </si>
  <si>
    <t>Прибор учета 3-ф Меркурий 230 АМ-01 зав.№46458932 - 1 шт.</t>
  </si>
  <si>
    <t>Первая Башенная Компания АО, Договор техприсоединения №547-21/2870 от 08.11.2021, Щит учета на ВЛИ 0,4кВ ТП 366 с.5 ул. Большая з/у @107299</t>
  </si>
  <si>
    <t>Прибор учета 3-ф Меркурий 230 АМ-01 зав.№45631826 - 1 шт.</t>
  </si>
  <si>
    <t>Гавриленко Юрий Васильевич, Договор техприсоединения №614-21/3335 от 06.12.2021, Щит учета на ВЛИ-0,4кВ  КТП 1249 сеть 2, пр-д 4-й Михайловский  д.15</t>
  </si>
  <si>
    <t>Прибор учета 3-ф Меркурий 230-АМ01 зав.№41610375 - 1 шт</t>
  </si>
  <si>
    <t>ООО "Компания Электромонтаж", Договор подряда № 344 от 09.08.2022</t>
  </si>
  <si>
    <t>Пуханов Дмитрий Викторович, Договор техприсоединения №426-21/2304, Щит учета на ВЛИ-0,4кВ КТП 1253 сеть 4 пр-д 1-й Бежковский пр-д, д.17, зем. уч.№71:30:030601:298</t>
  </si>
  <si>
    <t>Прибор учета 3-ф Меркурий 230-ART-01 зав.№46017240 - 1 шт.</t>
  </si>
  <si>
    <t>Поскакухин Владислав Альбертович, Договор техприсоединения №77-21/275 от 24.02.2021, Щит учета на ВЛИ-0,4кВ КТП 1356 сеть 2 сев-вост часть п.Горелки, пл.2, уч.112, кад. №71:30:060502:29</t>
  </si>
  <si>
    <t>Прибор учета 3-ф Меркурий 230 АМ-01 зав.№46436038 - 1 шт.</t>
  </si>
  <si>
    <t>ООО ЮК "Юстиция", Договор техприсоединения №530-21/2633 от 22.10.2021, Щит учета на ВЛИ-0,4кВ ТП 133 ул. Благовещенская, д.7, лит А</t>
  </si>
  <si>
    <t>Прибор учета 3-ф Меркурий 230 АМ-01 зав.№46435871 - 1 шт.</t>
  </si>
  <si>
    <t>Гавриленко Юрий Васильевич, Договор техприсоединения №481-21/2555 от 29.09.2021, Щит учета на ВЛИ-0,4кВ КТП 1249 сеть 2 пер. Колхозный, кад. №71:30:020510:574</t>
  </si>
  <si>
    <t>Прибор учета 3-ф Меркурий 230 АМ-01 зав.№45890328 - 1 шт.</t>
  </si>
  <si>
    <t>Максимов Тимур Константинович, Договор техприсоединения №346-21/1949 от 23.07.2021, Щит учета на ВЛИ-0,4кВ КТП 1466 сеть 1 ул. Киреевская, з/у кад.№71:30:080404:16</t>
  </si>
  <si>
    <t>Прибор учета 3-ф Меркурий 230 АМ-01 зав.№47433020 - 1 шт.</t>
  </si>
  <si>
    <t>Печникова Ксения Сергеевна, Договор техприсоединения №434-21/2285 от 07.09.2021, Щит учета на ВЛИ-0,4кВ КТП 1253 сеть 4 пр-д 1-й Бежковский, д.4,з/у кад. №71:30:030601:100</t>
  </si>
  <si>
    <t>Прибор учета 3-ф Меркурий 230-ART-01 зав.№46018144 - 1 шт.</t>
  </si>
  <si>
    <t>Андреева Людмила Анатольевна, Договор техприсоединения №499-21/2586 от 11.10.2021, Щит учета на ВЛ-0,4кВ ТП 118 сеть 3 8-й пр-д Мясново, д.60</t>
  </si>
  <si>
    <t>Прибор учета 3-ф Меркурий 230 АМ-01 зав.№46461066 - 1 шт.</t>
  </si>
  <si>
    <t>Прошина Ольга Андреевна, Договор техприсоединения №550-21/2955 от 09.11.2021, Щит учета на ВЛИ-0,4кВ ТП 112 сеть 1   3-й пр. Мясново, д.43</t>
  </si>
  <si>
    <t>Прибор учета 3-ф Меркурий 230 АМ-01 зав.№45646239 - 1 шт.</t>
  </si>
  <si>
    <t>Старостин Алексей Владимирович, Договор техприсоединения №208-21/964 от 28.04.2021, Щит учета на ВЛИ-0,4кВ ТП 238 сеть 2, ул. Мезенцева, д.12</t>
  </si>
  <si>
    <t>Прибор учета 3-ф ПСЧ-4ТМ.05МК.22 зав.№1120210591 - 1 шт.</t>
  </si>
  <si>
    <t>Каменский Михаил Евгеньевич, Договор техприсоединения №577-21/3267 от 24.11.2021, Щит учета на ВЛ-0,4кВ КТП 1134 сеть 1 пос. Восточный, уч.1а, кад. №71:30:180101:348</t>
  </si>
  <si>
    <t>Прибор учета 3-ф Меркурий 230 АМ-01 зав.№47024628 - 1 шт.</t>
  </si>
  <si>
    <t>Костина Галина Геннадьевна, Договор техприсоединения №526-21/2863 от 22.10.2021, Щит учета на ВЛИ-0,4кВ ТП 146 сеть 1 ул. Демидовская/Токарева, д.247/62</t>
  </si>
  <si>
    <t>Прибор учета 3-ф Меркурий 230 АМ-01 зав.№45646229 - 1 шт.</t>
  </si>
  <si>
    <t>Савина Нина Рудольфовна, Договор техприсоединения №546-21/2831 от 08.11.2021, Щит учета на ВЛИ-0,4кВ ТП 58 сеть 2 ул. Шевченко, д.61</t>
  </si>
  <si>
    <t>Прибор учета 3-ф Меркурий 230 АМ-01 зав.№46458886 - 1 шт.</t>
  </si>
  <si>
    <t>Грузевич Геннадий Петрович, Договор техприсоединения №607-21/2978 от 02.12.2021, Щит учета на ВЛИ-0,4кВ КТП 1212 сеть 1 ул. Самарская, з/у кад. №71:30:020512:548</t>
  </si>
  <si>
    <t>Прибор учета 3-ф Меркурий 230-АМ01 зав.№46870964 - 1 шт.</t>
  </si>
  <si>
    <t>Алмасян Григор Шотаевич, Договор техприсоединения №189-21/881 от 16.04.2021, Щит учета на ВЛИ-0,4кВ КТП 1349 сеть 1 ул. Костычева, з/у №71:30:020603:4743</t>
  </si>
  <si>
    <t>Прибор учета 3-ф Меркурий 230 АМ-01 зав.№46473378 - 1 шт.</t>
  </si>
  <si>
    <t>Кулешова Екатерина Николаевна, Договор техприсоединения №349-21/1790 от 26.07.2021, Щит учета на ВЛИ-0,4кВ КТП 1300 сеть 1 ул. Фестивальная,д.5б ,з/у кад. №71:30:010511:574</t>
  </si>
  <si>
    <t>Прибор учета 3-ф Меркурий 230 АМ-01 зав.№45572527 - 1 шт.</t>
  </si>
  <si>
    <t>Ефремова Екатерина Сергеевна, Договор техприсоединения №159-21/812 от 07.04.2021, Щит учета на ВЛИ-0,4 КВ КТП 1245 сеть 2, ул. Кольцова, кад. :71:30:030113:10252</t>
  </si>
  <si>
    <t>Прибор учета 3-ф Меркурий 230 АМ-01 зав.№46305077 - 1 шт.</t>
  </si>
  <si>
    <t>Свиридов Андрей Владимирович, Договор техприсоединения №150-21/749 от 02.04.2021, Щит учета на ВЛИ-0,4кВ КТП 1212  сеть3, ул. Волжская, д.23а, кад №71:30:020513:584</t>
  </si>
  <si>
    <t>Прибор учета 3-ф Меркурий 230 АМ-01 зав.№45666612 - 1 шт.</t>
  </si>
  <si>
    <t>Желудков Николай Владимирович, Договор техприсоединения №355-20/2945 от 20.10.2020, Щит учета на ВЛИ-0,4кВ ТП 105-з/у №71:30:000000:2991 ул. Седова</t>
  </si>
  <si>
    <t>Прибор учета 3-ф Меркурий 230 АМ-01 зав.№45617664 - 1 шт.</t>
  </si>
  <si>
    <t>СБК ООО, Договор подряда № 335 от 30.06.2021</t>
  </si>
  <si>
    <t>Храменков Владимир Борисович, Договор техприсоединения №348-21/1951 от 26.07.2021, Щит учета на ВЛИ-0,4кВ ТП 771 сеть 1 ул.Полевая, д.3</t>
  </si>
  <si>
    <t>Прибор учета 3-ф Меркурий 230 АМ-01 зав.№46439501 - 1 шт.</t>
  </si>
  <si>
    <t>Дубовская Ирина Владимировна, Договор техприсоединения №336-21/1846 от 16.07.2021, Щит учета на ВЛИ-0,4кВ ТП 917 сеть 2 ул. Малиновая засека, д.47, кад. №71:30:070807:1693</t>
  </si>
  <si>
    <t>Прибор учета 3-ф Меркурий 230 АМ-01 зав.№45890415 - 1 шт.</t>
  </si>
  <si>
    <t>Парфенов Александр Семенович, Договор техприсоединения №470-21/2548 от 23.09.2021, Щит учета на ВЛИ-0,4кВ КТП 614 сеть 4 п. Горняк, ул.2-я Садовая,д.33</t>
  </si>
  <si>
    <t>Прибор учета 3-ф Меркурий 230 АМ-01 зав.№45646044 - 1 шт.</t>
  </si>
  <si>
    <t>Гавриленко Юрий Васильевич, Договор техприсоединения №475-21/2552 от 29.09.2021, Щит учета на ВЛИ-0,4кВ КТП 1249 сеть 2 пер. Колхозный, кад. №71:30:020510:577</t>
  </si>
  <si>
    <t>Прибор учета 3-ф Меркурий 230 АМ-01 зав.№45879039 - 1 шт.</t>
  </si>
  <si>
    <t>Гостевский Денис Юрьевич, Договор техприсоединения №444-21/2420 от 09.09.2021, Щит учета на ВЛИ-0,4кВ ТП 325 сеть 1, ул. 9 Мая, д.1 (лит. Г)</t>
  </si>
  <si>
    <t>Прибор учета 3-ф Меркурий 230 АМ-01 зав.№46436077 - 1 шт.</t>
  </si>
  <si>
    <t>Матюшин Александр Владимирович, Договор техприсоединения №226-21/1153 от 17.05.2021, Щит учета на ВЛИ-0,4кВ КТП 1337 сеть 1, ул. Горельская, д.5</t>
  </si>
  <si>
    <t>Прибор учета 3-ф Меркурий 230 АМ-01 зав.№45572560 - 1 шт.</t>
  </si>
  <si>
    <t>Парамонова Людмила Николаевна, Договор техприсоединения №180-21/840 от 14.04.2021, Щит учета на ВЛИ-0,4кВ КТП 1466 сеть 1 ул. Киреевская, з/у кад.№71:30:080404:5</t>
  </si>
  <si>
    <t>Прибор учета 3-ф Меркурий 230 АМ-01 зав.№46435990 - 1 шт.</t>
  </si>
  <si>
    <t>Брызжева Екатерина Геннадьевна, Договор техприсоединения №400-20/3593 от 16.11.2020, Щит учета на ВЛИ-0,4кВ КТП 1213 сеть 1 ул. Донская,уч.88, кад. № 71:30:020512:78</t>
  </si>
  <si>
    <t>Прибор учета 3-ф Меркурий 230 АМ-01 зав.№44038254 - 1 шт.</t>
  </si>
  <si>
    <t>Геворгян Офеля Владимировна, Договор техприсоединения №419-21/2279 от 30.08.2021, Щит учета на ВЛИ-0,4кВ ТП 366 сеть 1 ул. Партизанская, д.2</t>
  </si>
  <si>
    <t>Прибор учета 3-ф Меркурий 230-АМ-01 зав.№46577544 - 1 шт.</t>
  </si>
  <si>
    <t>Косолапова Ольга Анатольевна, Договор техприсоединения №363-21/2062 от 04.08.2021, Щит учета на ВЛИ-0,4кВ ТП 057 с.3, ул.  Пархоменко, Д.41, кад. №71:30:050305:1632</t>
  </si>
  <si>
    <t>Прибор учета 3-ф Меркурий 230 АМ-01 зав.№45646240 - 1 шт.</t>
  </si>
  <si>
    <t>Зинин Алексей Юрьевич, Договор техприсоединения №64-21/296 от 16.02.2021, Щит учета на ВЛИ-0,4кВ КТП 1249 сеть 1, пер. Колхозный, кад. №71:30:020509:395</t>
  </si>
  <si>
    <t>Прибор учета 3-ф Меркурий 230 АМ-01 зав.№45891735 - 1 шт.</t>
  </si>
  <si>
    <t>Казуров Максим Геннадьевич, Договор техприсоединения №17-21/4147 от 21.01.2021, Щит учета на ВЛИ-0,4кВ ТП 684 сеть 2, ул. Леваневского, кад. №71:30:050306:1770</t>
  </si>
  <si>
    <t>Прибор учета 3-ф Меркурий 230 АМ-01 зав.№45879002 - 1 шт.</t>
  </si>
  <si>
    <t>Фомина Елена Владимировна, Договор техприсоединения 391-21/2140 от 13.08.2021, Щит учета на ВЛИ-0,4кВ ТП 187 сеть 2, ул. Пороховая, д.37, кл.1, кад. №71:30:010201:3240</t>
  </si>
  <si>
    <t>Прибор учета 3-ф Меркурий 230 АМ-01 зав.№46577513 - 1 шт.</t>
  </si>
  <si>
    <t>Ткаченко Юлия Игоревна, Договор техприсоединения №531-21/2740 от 25.10.2021, Щит учета на ВЛИ-0,4кВ КТП 1253 сеть 2 пр-д 1-й Полевой, д.28, з/у кад. №71:30:060602:112</t>
  </si>
  <si>
    <t>Прибор учета 3-ф Меркурий 230 АМ-01 зав.№45646217 - 1 шт.</t>
  </si>
  <si>
    <t>Морозова Инна Николаевна, Договор техприсоединения №520-21/2814 от 19.10.2021, Щит учета на ВЛИ-0,4кВ ТП 612 сеть 4 ул. Крылова/Грибоедова, д.1/5 кад.№71:30:080414:922</t>
  </si>
  <si>
    <t>Прибор учета 3-ф Меркурий 230 АМ-01 зав.№45646255 - 1 шт.</t>
  </si>
  <si>
    <t>ООО ЮК "Юстиция", Договор техприсоединения №529-21/2634 от 22.10.2021, Щит учета на ВЛИ-0,4кВ ТП 133 ул. Благовещенская, д.7, лит.В.,В1</t>
  </si>
  <si>
    <t>Прибор учета 3-ф Меркурий 230 АМ-01 зав.№46436207 - 1 шт.</t>
  </si>
  <si>
    <t>Арутюнян Айк Араикович, Договор техприсоединения №466-21/2482 от 21.09.2021, Щит учета на ВЛ-0,4кВ ТП 203 сеть 1 ул. Епифанская, з/у кад. №71:30:030103:1698</t>
  </si>
  <si>
    <t>Прибор учета 3-ф Меркурий 230-ART-01 зав.№46018139 - 1 шт.</t>
  </si>
  <si>
    <t>Бахлин Олег Николаевич, Договор техприсоединения №596-21/3317 от 30.11.2021, Щит учета на ВЛИ-0,4кВ КТП 1374 сеть 2 ул. Фестивальная,120,СНТ"Горняк",з/у кад. №71:30:060602:9</t>
  </si>
  <si>
    <t>Прибор учета 3-ф Меркурий 230-ART-01 зав.№46017248 - 1 шт.</t>
  </si>
  <si>
    <t>Гавриленко Юрий Васильевич, Договор техприсоединения №613-21/3334 от 06.12.2021, Щит учета на ВЛИ-0,4кВ  КТП 1249 сеть 2, пр-д 4-й Михайловский  д.13</t>
  </si>
  <si>
    <t>Прибор учета 3-ф Меркурий 230-АМ01 зав.№47024625 - 1 шт.</t>
  </si>
  <si>
    <t>Спортивные объекты МАУ МО г.Тулы, Договор техприсоединения №101-21/398 от 05.03.2021, Щит учета на КЛ-0,4кВ ТП 1308 Лыжная база 4-й Дачный пр., д.7б, кад. №71:30:030828:126</t>
  </si>
  <si>
    <t>Прибор учета 3-ф Меркурий 230-ART-01 зав.№47297076 - 1 шт.</t>
  </si>
  <si>
    <t>НефтоКомби ООО, Договор техприсоединения №29-21/97 от 29.01.2021, Щит учета на КЛ-0,4кВ ТП 578 ул. Макаренко,з/у 71:30:020620:114</t>
  </si>
  <si>
    <t>Прибор учета 3-ф Меркурий 230 АМ-03 зав.№45850836 с ТТ 100/5 - 1 шт.</t>
  </si>
  <si>
    <t>Тульские парки ГУ ТО, Договор техприсоединения №447-21/2249 от 09.09.2021, Щит учета на ВКЛ-0,4кВ КТП 1170 сеть 5 - Веневское ш. з/у кад. №71:30:000000:9237</t>
  </si>
  <si>
    <t>Прибор учета 3-ф Меркурий 230-ART-01 зав.№46285154 с ТТИ-А 100/5 - 1 шт.</t>
  </si>
  <si>
    <t>Залящина Татьяна Владимировна, Договор техприсоединения №281-21/1579 от 21.06.2021, Щит учета на ВЛИ-0,4кВ ТП 706 сеть 4 ул. Кирова, д.159</t>
  </si>
  <si>
    <t>Прибор учета 3-ф Меркурий 230 АМ-03 с ТТ 100/5 А зав.№45850945 - 1 шт.</t>
  </si>
  <si>
    <t xml:space="preserve">Исп. Савыкина Т.А.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</si>
  <si>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2022 год </t>
  </si>
  <si>
    <t xml:space="preserve">Выдача сетевой организацией уведомления об обеспечении сетевой организацией возможности присоединения к электрическим сетям Заявителям, указанным в абзаце шестом пункта 24 Методических указаний по определению размера платы за технологическое присоединение к электрическим сетям </t>
  </si>
  <si>
    <t>9. Контактный телефон 8(4872)74-93-02</t>
  </si>
  <si>
    <t>info@tulges.ru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</si>
  <si>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2023 год 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</si>
  <si>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АО "Тульские городские электрические сети",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2023 год</t>
    </r>
    <r>
      <rPr>
        <b/>
        <sz val="12"/>
        <rFont val="Times New Roman"/>
        <family val="1"/>
        <charset val="204"/>
      </rPr>
      <t xml:space="preserve">
</t>
    </r>
  </si>
  <si>
    <t>Евдокимов Анатолий Викторович Договор техприсоединения № 554-22 от 24.06.2022 ВЛИ от оп.3  ВЛИ-0,4кВ КТП 1484 сеть 2 СНТ Комарки, з/у кад. №71:14:020634:190</t>
  </si>
  <si>
    <t xml:space="preserve">СИП-2 3х50+1х54,6 </t>
  </si>
  <si>
    <t xml:space="preserve">Договор подряда № 87 от 09.03.2023 Геоземкадастр ООО </t>
  </si>
  <si>
    <t>Митрофанова Ольга Сергеевна Договор техприсоединения №70-22 от 25.01.2022 ВЛИ-0,4кВ КТП 1478 сеть 1 СТ Эксперимент, зу 110, кад. № 71:30:090308:111</t>
  </si>
  <si>
    <t>Договор подряда № 404 от 26.09.2022 ООО "РСО-Энерго"</t>
  </si>
  <si>
    <t>Попова Оксана Викторовна Договор техприсоединения №354-22 от 21.04.2022 ВЛИ-0,4 ТП 599 сеть 1 ул. Лобачевского, Глухополянская</t>
  </si>
  <si>
    <t>Договор подряда № 415 от 11.10.2022 ООО ЭЛЕКТРОН</t>
  </si>
  <si>
    <t>Кораблина Ираида Ивановна Договор техприсоединения № 552-22 от 24.06.2022 ВЛИ-0,4кВ ТП 727 сеть 1 Крутоовражный пр-д,уч. 102 с кад. №71:30:070219:126</t>
  </si>
  <si>
    <t>Договор подряда № 526 от 20.12.2022 ООО "Компания Электромонтаж"</t>
  </si>
  <si>
    <t>Гарибян Роман Арсенович ИП Договор техприсоединения №3-22 от 11.01.2022 ВЛИ-0,4 КВ от  КТП 1468 сеть 1 ул. Хомяковская,8а</t>
  </si>
  <si>
    <t>Договор подряда № 473 от 24.11.2022 ООО "РСО-Энерго"</t>
  </si>
  <si>
    <t>Булатова Галина Михайловна Договор техприсоединения №248-21/1419 от 31.05.2021 ВЛИ-0,4 кВ КТП 1485 сеть 1, ул. Кольцова, Маяковского</t>
  </si>
  <si>
    <t xml:space="preserve">Договор подряда № 108 от 16.03.2022 Геоземкадастр ООО </t>
  </si>
  <si>
    <t>Антонова Елена Ивановна Договор техприсоединения №400-22 от 11.05.2022 ВЛИ-0,4кВ КТП 1478 сеть 2 СТ Эксперимент, зу 164, кад. № 71:30:090308:157</t>
  </si>
  <si>
    <t>Сорокин Антон Валентинович Договор техприсоединения №240-22 от 09.03.2022 ВЛИ-0,4кВ КТП 1245 сеть 3 ул. Кольцова, уч.3, кад. №71:30:030113:5026</t>
  </si>
  <si>
    <t>Головин Вячеслав Евгеньевич Договор техприсоединения №565-22 от 28.06.2022 ВЛИ-0,4кВ ТП 787 сеть 2 СТ № 1 Тулаавтодор, уч.3, кад.№71:30:080304:6</t>
  </si>
  <si>
    <t>Договор подряда № 519 от 16.12.2022 ООО "Компания Электромонтаж"</t>
  </si>
  <si>
    <t>Морская Олеся Валерьевна Договор техприсоединения №848-22 от 17.11.2022 ВЛИ-0,4 кВ ТП 1248 сеть 3 ул. Одоевская, д.61, кад. №71:30:040201:59</t>
  </si>
  <si>
    <t>Договор подряда № 105 от 28.03.2023 ООО "Компания Электромонтаж"</t>
  </si>
  <si>
    <t>Еремеев Антон Андреевич Договор техприсоединения №572-21/3273 от 23.11.2021 ВЛИ-0,4кВ РП 4 сеть 1 ул. Мосина, д.31 ГСК №19</t>
  </si>
  <si>
    <t>Договор подряда № 254 от 08.07.2022 ООО "Компания Электромонтаж"</t>
  </si>
  <si>
    <t>Жукова Мария Юрьевна Договор техприсоединения №382-22 от 04.05.2022 ВЛИ-0,4 кВ КТП 937 сеть 2 СТ Домнаремонтовец, уч.8, з/у кад. №71:30:070703:41</t>
  </si>
  <si>
    <t>Договор подряда № 470 от 23.11.2022 ООО "РСО-Энерго"</t>
  </si>
  <si>
    <t>Ермоленко Александр Сергеевич Договор техприсоединения №632-22 от 15.07.2022 ВЛИ-0,4кВ КТП 1365 сеть 2 СТ Восход</t>
  </si>
  <si>
    <t>Надежина Юлия Юрьевна Договор техприсоединения № 289-22 от 25.03.2022 ВЛИ-0,4кВ КТП 1431 сеть 5 СНТ Комарки</t>
  </si>
  <si>
    <t>Договор подряда № 472 от 24.11.2022 ООО "РСО-Энерго"</t>
  </si>
  <si>
    <t>Ефремов Кирилл Юрьевич Договор техприсоединения №677-21/3497 от 23.12.2021 ВЛИ-0,4 кВ КТП 1479 сеть 1 ул. Фестивальная, СНТ Строитель, з/у кад. №71:30:060604:24</t>
  </si>
  <si>
    <t>Договор подряда № 198 от 19.05.2022 Электросвет ООО</t>
  </si>
  <si>
    <t>Моисеев Дмитрий Борисович Договор техприсоединения №818-22 от 28.10.2022 ВЛИ-0,4кВ ТП 681 сеть 3 пр-д Иншинский , д.30, ГСК №38</t>
  </si>
  <si>
    <t>Договор подряда № 103 от 28.03.2023 МЕХКОЛОННА № 26 ООО</t>
  </si>
  <si>
    <t>Соколова Любовь Ивановна Договор техприсоединения №651-21/3561 от 15.12.2021 ВЛИ-0,4кВ КТП 1377 сеть 4 СТ 4 УВД Тулобладминистрации, кад. №71:30:080401:309</t>
  </si>
  <si>
    <t xml:space="preserve">Договор подряда № 55 от 10.02.2023 Геоземкадастр ООО </t>
  </si>
  <si>
    <t>Соцкая Татьяна Витальевна Договор техприсоединения №311-22 от 06.04.2022 ВЛИ-0,4кВ КТП 1494 сеть 1 СТ Рассвет, КАД. №71:30:060606:21, КАД. №71:30:060605:53</t>
  </si>
  <si>
    <t>Договор подряда № 333 от 08.08.2022 ООО "Компания Электромонтаж"</t>
  </si>
  <si>
    <t>Городской телеканал ООО Договор техприсоединения № 264-22 от 18.03.2022 ВЛИ-0,4кВ от ТП 325 до ВРУ  экрана пр. Ленина, в р-не д.96</t>
  </si>
  <si>
    <t xml:space="preserve">Договор подряда № 51 от 10.02.2023 Геоземкадастр ООО </t>
  </si>
  <si>
    <t>Самонина Ирина Николаевна Договор техприсоединения №612-21/3372 от 06.12.2021 ВЛИ-0,4кВ КТП 1494 сеть 3 СТ Рассвет, кад.. №71:30:0606606:72, кад. №71:30:060605:188</t>
  </si>
  <si>
    <t>Сенкевич Марина Васильевна Договор техприсоединения №618-22 от 12.07.2022 ВЛИ-0,4кВ КТП 1491 сеть 1, СНТ "Керамик", уч.85, кад. №71:30:050412:63</t>
  </si>
  <si>
    <t>Договор подряда № 504 от 09.12.2022 ООО "Компания Электромонтаж"</t>
  </si>
  <si>
    <t>Хиндикайнен Вадим Иванович Договор техприсоединения № 726-22 от 29.08.2022 ВЛИ-0,4кВ КТП 1487 сеть 2 п. Рудаково, ул. Дачная, д.18, кад. №71:30:080216:14</t>
  </si>
  <si>
    <t>Договор подряда № 541 от 30.12.2022 ООО "Компания Электромонтаж"</t>
  </si>
  <si>
    <t>Леньшина Татьяна Петровна Договор техприсоединения №448-22 от 26.05.2022 ВЛИ-0,4кВ КТП 1476 сеть 1 Хомяковское ш. 2, СНТ №6 ТОЗ</t>
  </si>
  <si>
    <t xml:space="preserve">Договор подряда № 52 от 10.02.2023 Геоземкадастр ООО </t>
  </si>
  <si>
    <t>Сергеев Александр Викторович Договор техприсоединения №112-22 от 31.01.2022 ВЛИ-0,4кВ КТП 1488 сеть 1 СТ Центрмаркшейдерия, уч.86 кад. №71:30:080408:84</t>
  </si>
  <si>
    <t>Договор подряда № 471 от 24.11.2022 ООО "РСО-Энерго"</t>
  </si>
  <si>
    <t>Михайлин Владислав Владимирович Договор техприсоединения №845-22 от 16.11.2022 ВЛИ-0,4 кВ ТП 320 сеть 1 ул. Сойфера, д.13, ГК "Автолюбитель", гараж 4</t>
  </si>
  <si>
    <t>СИП 3х35+1х54,6 - 215 м., СВ-110-5 - 3 шт.</t>
  </si>
  <si>
    <t>Договор подряда № 126 от 18.04.2023 ООО "Компания Электромонтаж"</t>
  </si>
  <si>
    <t>Копко Андрей Александрович Договор техприсоединения №38-23 от 27.01.2023 ВЛИ-0,4кВ КТП 1476 сеть2, Хомяковское ш.,2, СТ "Сад №6" ТОЗ, уч. кад. №71:30:060624:124</t>
  </si>
  <si>
    <t>СИП 3х50+1х54,6 - 254 м., СВ-95-3 - 16 шт.</t>
  </si>
  <si>
    <t>Договор подряда № 199 от 23.05.2023 ООО "Компания Электромонтаж"</t>
  </si>
  <si>
    <t>Ванина Ольга Валериевна Договор техприсоединения №659-21/3585 от 16.12.2021 ВЛИ-0,4кВ КТП 1494 сеть 2 СТ Рассвет, кад. №71:30:060606:127;кад. №71:30:060605:146</t>
  </si>
  <si>
    <t>Терехина Людмила Львовна Договор техприсоединения №576-21/3271 от 24.11.2021 ВЛЗ-6кВ КТП 1494 -ВЛ-6кВ ПС 52 ф. База</t>
  </si>
  <si>
    <t xml:space="preserve">СИП-3 1х50 </t>
  </si>
  <si>
    <t>Ефремов Кирилл Юрьевич Договор техприсоединения №677-21/3497 от 23.12.2021 ВЛЗ-6кВ от ВЛ-6кВ ПС 52 ф.База,оп. №46 - КТП 1479</t>
  </si>
  <si>
    <t>Дрягин Михаил Александрович Договор техприсоединения №588-22 от 04.07.2022 ВЛЗ-6кВ от ВЛ-6кВ ПС 24 ф.27-КТП 1487</t>
  </si>
  <si>
    <t>Договор подряда № 520 от 16.12.2022 ООО "Компания Электромонтаж"</t>
  </si>
  <si>
    <t>АВТОЮНИОН-ВОШ ООО Договор техприсоединения №618-21/3392 от 07.12.2021 ВЛ-6кВ отпайка от ВЛ-6кВ ф.№14 ПС №145 "Октябрьская" до КЛ-6кВ КТП 1495</t>
  </si>
  <si>
    <t>Договор подряда № 280 от 15.07.2022 ООО "Компания Электромонтаж"</t>
  </si>
  <si>
    <t>Сенкевич Марина Васильевна Договор техприсоединения №618-22 от 12.07.2022 ВЛЗ-10кВ от ВЛ-10 кВ ТП 638-ТП 850 до КТП 1491</t>
  </si>
  <si>
    <t>Разумный Илья Дмитриевич Договор техприсоединения №158-22 от 10.02.2022 ВЛЗ-6кВ отпайка от ВЛ-6кВ ТП 831- ТП 834 от КТП 1476</t>
  </si>
  <si>
    <t>Сергеев Александр Викторович Договор техприсоединения №112-22 от 31.01.2022 ВЛЗ-6кВ от ВЛ-6кВ ПС 24 Ф.29 отп. на КТП 1382-КТП 1488</t>
  </si>
  <si>
    <t>1.3.1.4.1.2</t>
  </si>
  <si>
    <t>j=3, k=1, l=4, m=1, n=2 (до 50 мм2)</t>
  </si>
  <si>
    <t>ИНТЕРМОСТ ООО Договор техприсоединения №302-22 от 31.03.2022 ВЛИ-0,4кВ ТП 289 сеть 5, ул. Декабристов</t>
  </si>
  <si>
    <t>68</t>
  </si>
  <si>
    <t xml:space="preserve">2хСИП-2 3х50+1х54,6 </t>
  </si>
  <si>
    <t>Ишунина Кристина Сергеевна Договор техприсоединения №402-21/1952 от 19.08.2021 ВЛИ-0,4кВ КТП 1326 сеть 3 3-ий Бежковский проезд, д.26</t>
  </si>
  <si>
    <t>СИП-2 3х70+1х54,6</t>
  </si>
  <si>
    <t>Договор подряда № 109 от 16.03.2022 Электросвет ООО</t>
  </si>
  <si>
    <t>Веневцев Виктор Васильевич Договор техприсоединения №135-22 от 03.02.2022 ВЛИ-0,4кВ ТП 617 сеть 9 пос. Южный, ул. Клубная, д.17</t>
  </si>
  <si>
    <t>Договор подряда № 409 от 04.10.2022 ООО ЭЛЕКТРОН</t>
  </si>
  <si>
    <t>Богаткова Марина Сергеевна Договор техприсоединения №592-22 от 05.07.2022 ВЛИ-0,4кВ КТП 1339 сеть 1, ул.Фестивальная,142,СНТ"ХОЭМЗ", КАД. №71:30:060619:58</t>
  </si>
  <si>
    <t xml:space="preserve">Договор подряда № 84 от 09.03.2023 Геоземкадастр ООО </t>
  </si>
  <si>
    <t>Русакова Елена Александровна Договор техприсоединения № 899-22 от 15.12.2022 ВЛИ-0,4кВ ТП 627 сеть 5, п.2-й Западный, ул. Новоселов, д.5, КАД. №71:30:080411:65</t>
  </si>
  <si>
    <t>Договор подряда № 317 от 16.08.2023 ООО "Компания Электромонтаж"</t>
  </si>
  <si>
    <t>Бовдур Евгений Николаевич Договор техприсоединения №705-22 от 18.08.2022 ВЛИ-0,4кВ ТП 1339 сеть 2 ул. Фестивальная,142, СНТ "ХОЭМЗ", кад.№71:30:060619:159</t>
  </si>
  <si>
    <t>Договор подряда № 197 от 23.05.2023 ООО "Компания Электромонтаж"</t>
  </si>
  <si>
    <t>1.3.1.4.2.2</t>
  </si>
  <si>
    <t>j=3, k=1, l=4, m=2, n=2 (от 50 до 100 мм2)</t>
  </si>
  <si>
    <t>Сорокин Антон Валентинович Договор техприсоединения №380-21/1618 от 10.08.2021 ВЛИ-0,4 кВ КТП 1441 СЕТЬ 2 пр-д 2-й Клинской</t>
  </si>
  <si>
    <t>80</t>
  </si>
  <si>
    <t xml:space="preserve">2хСИП 3х70+1х54,6 </t>
  </si>
  <si>
    <t>Договор подряда № 688 от 28.12.2021 ООО "РСО-Энерго"</t>
  </si>
  <si>
    <t>Баев Петр Александрович Договор техприсоединения №285-21/1411 от 23.06.2021 КЛ-0,4кВ ТП 1469-ВРУ ул. Халтурина, д.3а</t>
  </si>
  <si>
    <t xml:space="preserve">АВБбШв 4х25 - 41,3 м. </t>
  </si>
  <si>
    <t>Договор подряда № 97 от 14.03.2022 ООО "Компания Электромонтаж"</t>
  </si>
  <si>
    <t>Козинкин Владислав Анатольевич ИП Договор техприсоединения №116-23 от 30.03.2023 КЛ-0,4кВ ТП 151-щит учета на зем. уч. ул. Октябрьская, д.11А, КАД. №71:30:010229:3</t>
  </si>
  <si>
    <t xml:space="preserve">АВБШв 4х50 - 108,5 м. </t>
  </si>
  <si>
    <t>Договор подряда № 438 от 17.11.2023 МЕХКОЛОННА № 26 ООО</t>
  </si>
  <si>
    <t>Специализированный застройщик Внешстрой АО Договор техприсоединения №755-22 от 19.09.2022 КЛ-0,4кВ 2 СкШ КТП 1483-щит учета №2 на зем. уч.пос.2-й Западный, ул. Маяков., уч.№71:30:080411:2044; КЛ-0,4кВ 1 СкШ КТП 1483-щит учета №1 на зем. уч.пос.2-й Западный, ул. Маяков., уч.№71:30:080411:2044</t>
  </si>
  <si>
    <t xml:space="preserve">АВБШв 4х50 - 76 м. 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</si>
  <si>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(50-100 мм2)</t>
    </r>
  </si>
  <si>
    <t>Смурыгова Юлия Юрьевна ИП Договор техприсоединения №193-21/942 от 21.04.2021 КЛ-0,4кВ ТП 469-распред.коробка Ханинский пр-д, д.8</t>
  </si>
  <si>
    <t xml:space="preserve">АВБбШв 4х70 - 89 м. </t>
  </si>
  <si>
    <t>Договор подряда № 686 от 27.12.2021 Электросвет ООО</t>
  </si>
  <si>
    <t>Моисеев Дмитрий Борисович Договор техприсоединения №818-22 от 28.10.2022 КЛ-0,4кВ ТП 681, ГСК №38 оп.7-оп.8 (вставка)</t>
  </si>
  <si>
    <t xml:space="preserve">АВБбШв 4х70 - 82 м. </t>
  </si>
  <si>
    <t>Золин Андрей Владимирович Договор техприсоединения № 544-22 от 22.06.2022 КЛ-0,4кВ ТП 532 - щит учет ул. Тимирязева, д.101-г</t>
  </si>
  <si>
    <t xml:space="preserve">АВБбШв 4х70 - 52 м. </t>
  </si>
  <si>
    <t>Гарбуз Дмитрий Владимирович Договор техприсоединения №23-21/79 от 26.01.2021 КЛ-0,4кВ от ВЛИ-0,4кВ КТП 1326 с. 2 от опоры в р-не уч.№71:14:020701:29 до гр уч №71:14:020701:1598</t>
  </si>
  <si>
    <t xml:space="preserve">АВБШв 4х70 - 124,1 м. </t>
  </si>
  <si>
    <t>Договор подряда № 3 от 10.01.2023 ООО ЭЛЕКТРОН</t>
  </si>
  <si>
    <t>Тульский областной центр молодежи ГУ ТО Договор техприсоединения №157-21 от 07.04.2021 КЛ-0,4кВ ТП 90н- до врезки в КЛ-0,4кВ пожарная насосная станция ,ул. Демонстрации,134</t>
  </si>
  <si>
    <t xml:space="preserve">АВБШв 4х70 - 11 м. </t>
  </si>
  <si>
    <t>Договор подряда № 111 от 16.03.2022 Электросвет ООО</t>
  </si>
  <si>
    <t>Михайлин Сергей Михайлович ИП Договор техприсоединения №63-23 от 17.02.2023 КЛ-0,4кВ ТП 375-щит учета ул. Макаренко,2, помещение 1-4,12-15,36,37,39,43,44 (1 этаж)</t>
  </si>
  <si>
    <t xml:space="preserve">АВБШв 4х70 - 145,4 м. </t>
  </si>
  <si>
    <t>Договор подряда № 194 от 22.05.2023 ООО "Компания Электромонтаж"</t>
  </si>
  <si>
    <t>Черный потолок ООО Договор техприсоединения №752-22 от 16.09.2022 КЛ-0,4 кВ ТП 278-ВРУ нежил. помещ. ул. Смидович, д.16</t>
  </si>
  <si>
    <t xml:space="preserve">АВБбШв 4х70 - 185,3 м. </t>
  </si>
  <si>
    <t>Договор подряда № 1 от 10.01.2023 ООО "Компания Электромонтаж"</t>
  </si>
  <si>
    <t>Корчевный Николай Владимирович ИП Договор техприсоединения №788-22 от 05.10.2022 КЛ-0,4кВ РП 52-щит учета Красноармейский пр, д.44</t>
  </si>
  <si>
    <t xml:space="preserve">АВБбШв 4х95 - 164 м. </t>
  </si>
  <si>
    <t>Костюрин Игорь Викторович Договор техприсоединения №127-21/562 от 22.03.2021_рассрочка КЛ-0,4кВ ТП 123-ЩУ ул. Пирогова, д.39</t>
  </si>
  <si>
    <t xml:space="preserve">АВБбШв 4х95 - 384 м. </t>
  </si>
  <si>
    <t>Договор подряда № 682 от 24.12.2021 Электросвет ООО</t>
  </si>
  <si>
    <t>Лицей № 1 МАОУ Договор техприсоединения №87-23 от 13.03.2023 КЛ-0,4кВ ТП 334н -щит учета на зем. участке ул. Пушкинская, д.16</t>
  </si>
  <si>
    <t xml:space="preserve">АВБбШв 4х95 - 99 м. </t>
  </si>
  <si>
    <t>Договор подряда № 318 от 16.08.2023 ООО "Компания Электромонтаж"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</si>
  <si>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l=1, m=3, n=1 (100-200 мм2) </t>
    </r>
  </si>
  <si>
    <t>Ковалевская Татьяна Николаевна ИП Договор техприсоединения №406-20/3643 от 18.11.2020 КЛ-0,4кВ ТП 93-распред. короб. ул. Лейтейзина, неж. зд. з/у №71:30:040114:3118</t>
  </si>
  <si>
    <t xml:space="preserve">АВБШв 4х120 - 37,5 м. </t>
  </si>
  <si>
    <t>Договор подряда № 184 от 05.05.2021 СБК ООО</t>
  </si>
  <si>
    <t>Павлов Евгений Петрович Договор техприсоединения №246-21/1436 от 31.05.2021 КЛ-0,4кВ КТП 756- щит учета ул. Н.Волоховская,  уч..54, кад. №71:30:020612:880.</t>
  </si>
  <si>
    <t xml:space="preserve">АВБбШв 4х120 - 193 м. </t>
  </si>
  <si>
    <t>Филатов Артур Борисович ИП Договор техприсоединения №287-21/1646 от 23.06.2021 КЛ-0,4кВ ТП 19 - щит учета з/у кад. №71:30:050103:1362 ул. Войкова/Староникитская</t>
  </si>
  <si>
    <t xml:space="preserve">АВБШв 4х120 - 177,5 м. </t>
  </si>
  <si>
    <t>Бардина Татьяна Ивановна ИП Договор техприсоединения №648-22 от 20.07.2022 КЛ-0,4 кВ ТП 217-щит учета на з/у ул. Ш.Руставели, д.2</t>
  </si>
  <si>
    <t xml:space="preserve">АВБбШв 4х120 - 132,5 м. </t>
  </si>
  <si>
    <t>Договор подряда № 525 от 20.12.2022 ООО "Компания Электромонтаж"</t>
  </si>
  <si>
    <t>Сорокин Антон Валентинович Договор техприсоединения №380-21/1618 от 10.08.2021 КЛ-0,4кВ от ВЛИ с.2 КТП 1441-щит учета пр-д 2-й Клинской, уч. 2А участок №71:30:020105:1514</t>
  </si>
  <si>
    <t xml:space="preserve">АВБШв 4х150 - 103 м. </t>
  </si>
  <si>
    <t>Чумаков Сергей Владимирович Договор техприсоединения №602-21/3336 от 01.12.2021 КЛ-0,4кВ ТП 40 -щит учета ул. Тургеневская/Жуковского, з/у кад. №71:30:050202:1692</t>
  </si>
  <si>
    <t xml:space="preserve">АВБбШв 4х150 - 123 м. </t>
  </si>
  <si>
    <t>Договор подряда № 192 от 18.05.2022 ООО "Компания Электромонтаж"</t>
  </si>
  <si>
    <t>ИП Старостин Алексей Владимирович Договор техприсоединения №396-22 от 06.05.2022 КЛ-0,4 КВ  КТП 1486-ЩУ з/у ул. Хомяковская,8а, кад. №71:30:060704:450</t>
  </si>
  <si>
    <t xml:space="preserve">АВБбШв 4х150 - 31 м. </t>
  </si>
  <si>
    <t>Бондаренко Василий Иванович Договор техприсоединения №455-22 от 27.05.2022 КЛ-0,4 кВ КТП 1346 - ЩУ ул. Карпова/29-й пр-д, зу кад. № 71:30:010501:299</t>
  </si>
  <si>
    <t xml:space="preserve">АВБШв 4х150 - 81 м. </t>
  </si>
  <si>
    <t>Фобос ООО Договор техприсоединения №682-22 от 01.08.2022 КЛ-0,4кВ РП 11 - щит учета ул. Привокзальная, зу кад. №71:30:020219:1774</t>
  </si>
  <si>
    <t xml:space="preserve">АВБбШв 4х150 - 229 м. </t>
  </si>
  <si>
    <t>Договор подряда № 527 от 20.12.2022 ООО "Компания Электромонтаж"</t>
  </si>
  <si>
    <t>ИП Трынков Александр Анатольевич Договор техприсоединения №291-22 от 28.03.2022 КЛ-0,4кВ ТП 40 - щит учета ул. Советская, 80, 82</t>
  </si>
  <si>
    <t xml:space="preserve">АВБбШв 4х150 - 68 м. </t>
  </si>
  <si>
    <t>Договор подряда № 466 от 21.11.2022 ООО "Компания Электромонтаж"</t>
  </si>
  <si>
    <t>Зодчий ООО Договор техприсоединения № 222-22 от 01.03.2022 КЛ-0,4 кВ ТП 124 - щит учета з/у ул.Кауля, д.45, корп. 4</t>
  </si>
  <si>
    <t xml:space="preserve">АВБбШв 4х150 - 219 м. </t>
  </si>
  <si>
    <t>Смолянинова Лариса Николаевна ИП Договор техприсоединения № 901-22 от 16.12.2022 КЛ-0,4кВ ТП 151 -распред. коробка на зем. уч. ул. Октябрьская, д.11б, кад. №71:30:010229:6</t>
  </si>
  <si>
    <t xml:space="preserve">АВБШв 4х150 - 117,5 м. </t>
  </si>
  <si>
    <t>Договор подряда № 198 от 23.05.2023 ООО "Компания Электромонтаж"</t>
  </si>
  <si>
    <t xml:space="preserve">Региональный фонд развития жилищного строительства и ипотечного кредитования Договор техприсоединения № 1-22 от 10.01.2022; КЛ-0,4кВ ТП 690 -аб. ВЛИ-0,4кВ ж.д.28, ул. Казанская (Мукиенко А.С.) </t>
  </si>
  <si>
    <t xml:space="preserve">АВБбШв 4х150 - 11,6 м. </t>
  </si>
  <si>
    <t>Договор подряда № 339 от 09.08.2022 ООО "Компания ЯрЭнергоРемонт"</t>
  </si>
  <si>
    <t xml:space="preserve">Региональный фонд развития жилищного строительства и ипотечного кредитования Договор техприсоединения № 1-22 от 10.01.2022; КЛ-0,4кВ ТП 690 -щит учета на уч. пос. Михалково,кад. №71:30:020513:775 </t>
  </si>
  <si>
    <t xml:space="preserve">АВБбШв 4х150 - 233 м. </t>
  </si>
  <si>
    <t>ООО УК Подъем Дом Договор техприсоединения №149-22 от 08.02.2022 КЛ-0,4кВ ТП 46-ВРУ МКД пр. Ленина/Первомайская,62/7</t>
  </si>
  <si>
    <t xml:space="preserve">АВБбШв 4х185 - 88 м. </t>
  </si>
  <si>
    <t>Договор подряда № 281 от 15.07.2022 ООО "Компания Электромонтаж"</t>
  </si>
  <si>
    <t>Фатеев Андрей Александрович Договор техприсоединения №115-22 от 31.01.2022 КЛ-0,4кВ от ВЛИ-0,4кВ КТП 1494 с. 3 СТ Рассвет, кад№71:30:0606606:188-щит уч уч124 №71:30:060605:173</t>
  </si>
  <si>
    <t xml:space="preserve">АВБШв 4х185 - 42 м. </t>
  </si>
  <si>
    <t>Кузнецов Юрий Евгеньевич Договор техприсоединения №579-21/3262 от 24.11.2021 КЛ-0,4кВ ТП 188-щит учета ул. Арсенальная, д.10, уч.кад. :71:30:010219:11999</t>
  </si>
  <si>
    <t xml:space="preserve">АВБбШв 4х185 - 301 м. </t>
  </si>
  <si>
    <t xml:space="preserve">Договор подряда № 53 от 10.02.2023 Геоземкадастр ООО </t>
  </si>
  <si>
    <t xml:space="preserve">Юкрафт шоп Ру ООО Договор техприсоединения №60-21/4028 от 15.02.2021 КЛ-0,4 кВ (каб.1,2) ВРУ д.16 лит. В.1-ВРУ д.16 ул. Металлистов </t>
  </si>
  <si>
    <t xml:space="preserve">АВБбШв 4х120 - 47 м. </t>
  </si>
  <si>
    <t xml:space="preserve">Договор подряда № 87 от 11.03.2022 Геоземкадастр ООО </t>
  </si>
  <si>
    <t>Токарев Валерий Владимирович Договор техприсоединения №98-21/459 от 04.03.2021 КЛ-0,4кВ 1, 2 ск.ш. ТП 1457-ШР 1 ул. Металлистов, Д.8-А</t>
  </si>
  <si>
    <t xml:space="preserve">АВБбШв 4х120 - 16 м. </t>
  </si>
  <si>
    <t xml:space="preserve">Договор подряда № 88 от 11.03.2022 Геоземкадастр ООО </t>
  </si>
  <si>
    <t xml:space="preserve">Пронин Александр Вячеславович Договор техприсоединения №443-20/4022 от 17.12.2020 КЛ-0,4 кВ (каб.1,2) ВРУ д.14-ВРУ д.16 лит. А,А1 ул. Металлистов </t>
  </si>
  <si>
    <t xml:space="preserve">АВБбШв 4х120 - 39,4 м. </t>
  </si>
  <si>
    <t>ГУЗ ТО КЦДП (Клинический центр детской психоневрологии) Договор техприсоединения №824-22 от 01.11.2022 КЛ-0,4кВ каб. 1, 2 ТП 896- ВРУ-2 ул. Бундурина, д.43/132</t>
  </si>
  <si>
    <t xml:space="preserve">АВБбШв 4х120 - 153,5 м. </t>
  </si>
  <si>
    <t>Договор подряда № 264 от 05.07.2023 ООО "Компания Электромонтаж"</t>
  </si>
  <si>
    <t>Специализированный застройщик Внешстрой АО Договор техприсоединения № 102-22 от 27.01.2022 КЛ-0,4кВ 1 с.ш.(каб.1,2) ТП 1483-ВРУ-3 МКД  ул. Маяковского, д.39, кад. №71:30:080413:7</t>
  </si>
  <si>
    <t xml:space="preserve">АВБбШв 4х120 - 84,4 м. </t>
  </si>
  <si>
    <t>Договор подряда № 479 от 28.11.2022 ООО "Компания Электромонтаж"</t>
  </si>
  <si>
    <t>Специализированный застройщик Внешстрой АО Договор техприсоединения № 102-22 от 27.01.2022 КЛ-0,4кВ 2 с.ш.(каб.1,2) ТП 1483-ВРУ-3 МКД  ул. Маяковского, д.39, кад. №71:30:080413:7</t>
  </si>
  <si>
    <t xml:space="preserve">АВБбШв 4х120 - 82,4 м. </t>
  </si>
  <si>
    <t>Баал Кулик ООО СЗ Договор техприсоединения № 282-23 от 23.03.2022 КЛ-0,4кВ 1, 2 ск.ш. ТП 1441-ВРУ 2.1 жд пр-д 2-й Клинский, №71:00:000000:145347</t>
  </si>
  <si>
    <t xml:space="preserve">АВБбШв 4х150 - 105,2 м. </t>
  </si>
  <si>
    <t>Договор подряда № 340 от 09.08.2022 ООО "Компания Электромонтаж"</t>
  </si>
  <si>
    <t>ИП Алпатов Руслан Валерьевич Договор техприсоединения №875-22 от 05.12.2022 КЛ-0,4кВ каб. 1, 2 ТП 413-щит учета ул. Сурикова, д.12а, кад. №71:30:020401:4555</t>
  </si>
  <si>
    <t xml:space="preserve">АВБбШв 4х185 - 392,4 м. </t>
  </si>
  <si>
    <t>Договор подряда № 127 от 18.04.2023 ООО "Компания Электромонтаж"</t>
  </si>
  <si>
    <t>Баал Кулик ООО СЗ Договор техприсоединения №665-21 от 17.12.2021 КЛ-0,4кВ каб.1 ТП 1441 1, 2 СкШ-ВРУ 4.1 на зем. уч. 2-й Клинский проезд, кад. №71:14:040401:8746</t>
  </si>
  <si>
    <t xml:space="preserve">АВБбШв 4х185 - 203 м. </t>
  </si>
  <si>
    <t>Договор подряда № 474 от 08.12.2023 ООО "Компания ЯрЭнергоРемонт"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</si>
  <si>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l=1, m=4, n=1 (200-240 мм2) </t>
    </r>
  </si>
  <si>
    <t xml:space="preserve">Бондаренко Василий Иванович Договор техприсоединения №428-22 от 20.05.2022 КЛ-0,4 кВ ТП 327 - щит учета на з/у д.Малевка, кад.№71:14:030501:13459 </t>
  </si>
  <si>
    <t xml:space="preserve">АВБбШв 4х240 - 364 м. </t>
  </si>
  <si>
    <t>Договор подряда № 521 от 16.12.2022 ООО "Компания Электромонтаж"</t>
  </si>
  <si>
    <t>Дельта-Тек ООО Договор техприсоединения №212-20 от 16.07.2020 КЛ-0,4 кВ КТП 832-п.Хомяково, ул. Хомяковская, д.12</t>
  </si>
  <si>
    <t xml:space="preserve">АВБбШв 4х240 - 273 м. </t>
  </si>
  <si>
    <t>Договор подряда № 443 от 22.12.2020 ЭнергоПромМонтаж ООО</t>
  </si>
  <si>
    <t>ИП Петрушкин Роман Васильевич Договор техприсоединения №384-22 от 04.05.2022 КЛ-0,4кВ ТП 351-щит учета на зем. уч. д. Малевка, кад. №71:14:030501:13457</t>
  </si>
  <si>
    <t xml:space="preserve">АВБШв 4х240 - 276 м. </t>
  </si>
  <si>
    <t>Договор подряда № 505 от 09.12.2022 ООО "Компания Электромонтаж"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</si>
  <si>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l=1, m=4, n=2 (200-240 мм2) </t>
    </r>
  </si>
  <si>
    <t>Матяш Николай Алексеевич ИП Договор техприсоединения №459-20/4031 от 23.12.2020 КЛ-0,4 кВ 1 ск.ш. (каб.1,2)-ВРУ ул. Металлистов ,14</t>
  </si>
  <si>
    <t>Матяш Николай Алексеевич ИП Договор техприсоединения №459-20/4031 от 23.12.2020 КЛ-0,4 кВ 2 ск.ш. (каб.1,2)-ВРУ ул. Металлистов ,14</t>
  </si>
  <si>
    <t>Юкрафт шоп Ру ООО Договор техприсоединения №60-21/4028 от 15.02.2021 КЛ-0,4кВ 1 ск.ш (каб.1,2) ТП 1457-ВРУ ул. Металлистов,16, лит. В1</t>
  </si>
  <si>
    <t xml:space="preserve">АВБбШв 4х240 - 230,1 м. </t>
  </si>
  <si>
    <t>Юкрафт шоп Ру ООО Договор техприсоединения №60-21/4028 от 15.02.2021 КЛ-0,4кВ 2 ск.ш (каб.1,2) ТП 1457-ВРУ ул. Металлистов,16, лит. В1</t>
  </si>
  <si>
    <t xml:space="preserve">АВБбШв 4х240 - 236,1 м. </t>
  </si>
  <si>
    <t>Специализированный застройщик Внешстрой АО Договор техприсоединения № 102-22 от 27.01.2022 КЛ-0,4кВ 1, 2 с.ш. ТП 1483-ВРУ-2 МКД  ул. Маяковского, д.39, кад. №71:30:080413:7</t>
  </si>
  <si>
    <t xml:space="preserve">АВБбШв 4х240 - 149,7 м. </t>
  </si>
  <si>
    <t>Специализированный застройщик Внешстрой АО Договор техприсоединения № 102-22 от 27.01.2022 КЛ-0,4кВ 1, 2 с.ш. ТП 1483-ВРУ-1 МКД  ул. Маяковского, д.39, кад. №71:30:080413:7</t>
  </si>
  <si>
    <t xml:space="preserve">АВБбШв 4х240 - 167,1 м. </t>
  </si>
  <si>
    <t>Ремжилхоз МУП  Договор техприсоединения №427-22 от 20.05.2022 КЛ-0,4кВ 1, 2 СкШ ТП 454 - щит учета №1 на фасаде здания по адресу Марата, д.71</t>
  </si>
  <si>
    <t xml:space="preserve">АВБШв 4х240 - 297 м. </t>
  </si>
  <si>
    <t>Договор подряда № 508 от 12.12.2022 ООО "Компания Электромонтаж"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</si>
  <si>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.2.1.1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</si>
  <si>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n=1 (до 50 мм2)</t>
    </r>
  </si>
  <si>
    <t>Черный потолок ООО Договор техприсоединения №752-22 от 16.09.2022 КЛ-0,4 кВ ТП 278-ВРУ ж.д. ул. Смидович, д.16</t>
  </si>
  <si>
    <t>65</t>
  </si>
  <si>
    <t xml:space="preserve">ААБл 4х35 - 130,8 м. </t>
  </si>
  <si>
    <r>
      <t>2.1.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.2.1.4</t>
    </r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</si>
  <si>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n=4 (до 50 мм2)</t>
    </r>
  </si>
  <si>
    <t>ИП Старостин Алексей Владимирович Договор техприсоединения №396-22 от 06.05.2022 КЛ-6 кВ каб.1  КТП 1486-КТП 1468 до врезки</t>
  </si>
  <si>
    <t xml:space="preserve">АСБл 3х50 - 47,5 м. </t>
  </si>
  <si>
    <t>ИП Старостин Алексей Владимирович Договор техприсоединения №396-22 от 06.05.2022 КЛ-6 кВ каб.2  КТП 1486-ТП 832 до врезки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</si>
  <si>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(50-100 мм2)</t>
    </r>
  </si>
  <si>
    <t>Тульский областной центр молодежи ГУ ТО Договор техприсоединения №157-21 от 07.04.2021 КЛ-0,4кВ 1 ск.ш.ТП 90н-внеш. стены ДК (ВРУ-2 пожар. станция) ул. Демонстрации,134</t>
  </si>
  <si>
    <t xml:space="preserve">ААБ 4х95 - 14 м. </t>
  </si>
  <si>
    <t>Тульский областной центр молодежи ГУ ТО Договор техприсоединения №157-21 от 07.04.2021 КЛ-0,4кВ 2 ск.ш.ТП 90н-внеш. стены ДК (ВРУ-2 пожар. станция) ул. Демонстрации,134</t>
  </si>
  <si>
    <t xml:space="preserve">ААБ 4х95 - 11 м. </t>
  </si>
  <si>
    <t>Корчевный Николай Владимирович ИП Договор техприсоединения №642-22 от 18.07.2022 КЛ-6кВ КТП 1482-отп. оп. №2 ВЛ-6кВ РП 47-ТП 559</t>
  </si>
  <si>
    <t xml:space="preserve">АСБл 3х70 - 151 м. </t>
  </si>
  <si>
    <t>Договор подряда № 531 от 21.12.2022 ООО "Компания Электромонтаж"</t>
  </si>
  <si>
    <t>Ткачев Виктор Александрович Договор техприсоединения №683-21/3638 от 23.12.2021 КЛ-6кВ от КЛ-6кВ КТП 1404-КТП 1288 на КТП 1478</t>
  </si>
  <si>
    <t xml:space="preserve">АСБл 3х70 - 500,5 м. </t>
  </si>
  <si>
    <t>Тульский областной центр молодежи ГУ ТО Договор техприсоединения №157-21 от 07.04.2021 КЛ-10 кВ ТП 90н- ТП 642 до врезки</t>
  </si>
  <si>
    <t xml:space="preserve">АСБл 3х95 - 65 м. </t>
  </si>
  <si>
    <t>Тульский областной центр молодежи ГУ ТО Договор техприсоединения №157-21 от 07.04.2021 КЛ-10 кВ ТП 90н- ТП 524 до врезки</t>
  </si>
  <si>
    <t xml:space="preserve">АСБл 3х95 - 72 м. 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</si>
  <si>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n=2 (50-100 мм2)</t>
    </r>
  </si>
  <si>
    <t>Глаголева Зинаида Алексеевна  ИП Договор техприсоединения №748-22 от 13.09.2022 КЛ-6кВ каб.1 КТП 1489-ТП 107</t>
  </si>
  <si>
    <t xml:space="preserve">АСБл 3х70 - 111,3 м. </t>
  </si>
  <si>
    <t>Договор подряда № 542 от 30.12.2022 ООО "Компания Электромонтаж"</t>
  </si>
  <si>
    <t>Разумный Илья Дмитриевич Договор техприсоединения №158-22 от 10.02.2022 КЛ-6кВ каб.1, 2 отпайка от ВЛ-6кВ ТП 831- ТП 834 от КТП 1476</t>
  </si>
  <si>
    <t xml:space="preserve">АСБл 3х70 - 594 м. 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</si>
  <si>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m=3, n=1 (100-200 мм2) </t>
    </r>
  </si>
  <si>
    <t>Баал Кулик ООО СЗ Договор техприсоединения №664-21 от 17.12.2021 КЛ-6кВ ТП 1475-ТП 107</t>
  </si>
  <si>
    <t xml:space="preserve">АСБл 3х120 - 262 м. </t>
  </si>
  <si>
    <t>Договор подряда № 345 от 09.08.2022 ООО "Компания Электромонтаж"</t>
  </si>
  <si>
    <t>Баал Кулик ООО СЗ Договор техприсоединения №664-21 от 17.12.2021 КЛ-6кВ ТП 1475-ТП 1441</t>
  </si>
  <si>
    <t xml:space="preserve">АСБл 3х120 - 291 м. </t>
  </si>
  <si>
    <t>Специализированный застройщик Внешстрой АО Договор техприсоединения № 102-22 от 27.01.2022 КЛ-6кВ ТП 1483-ТП 624</t>
  </si>
  <si>
    <t xml:space="preserve">АСБл 3х120 - 462 м. </t>
  </si>
  <si>
    <t>Специализированный застройщик Внешстрой АО Договор техприсоединения № 102-22 от 27.01.2022 КЛ-6кВ ТП 1483-РП 87</t>
  </si>
  <si>
    <t xml:space="preserve">АСБл 3х120 - 380 м. </t>
  </si>
  <si>
    <t>Болоненко Станислав Николаевич ИП Договор техприсоединения №48-23 от 03.02.2023 КЛ-6кВ КТП 1500-ф.2 ПС370 "Тулица"</t>
  </si>
  <si>
    <t>Договор подряда № 213 от 02.06.2023 ООО "Компания Электромонтаж"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</si>
  <si>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m=3, n=2 (100-200 мм2) </t>
    </r>
  </si>
  <si>
    <t>Булатова Галина Михайловна Договор техприсоединения №248-21/1419 от 31.05.2021 КЛ-6 кВ КТП 1485 -ТП 709</t>
  </si>
  <si>
    <t xml:space="preserve">АСБл 3х120 - 189 м. </t>
  </si>
  <si>
    <t>Летягина Мария Антоновна ИП Договор техприсоединения №81-21/290 от 25.02.2021 КЛ-0,4кВ 1, 2 ск.ш. РП 47-ЩУ 1, 2 пр-т Ленина,131, з/у кад. №71:30:050401:80</t>
  </si>
  <si>
    <t xml:space="preserve">ААБл 4х185 - 282,3 м. </t>
  </si>
  <si>
    <t>Договор подряда № 110 от 16.03.2022 Электросвет ООО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</si>
  <si>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m=4, n=1 (200-240 мм2) </t>
    </r>
  </si>
  <si>
    <t>Куценков Александр Николаевич  Договор техприсоединения №110-22 от 31.01.2022 КЛ-0,4 кВ ТП 816 - щит учета на з/у ул. Н. Островского, д.71</t>
  </si>
  <si>
    <t xml:space="preserve">ААБл 4х240 - 326,9 м. </t>
  </si>
  <si>
    <t>Договор подряда № 416 от 11.10.2022 ООО ЭЛЕКТРОН</t>
  </si>
  <si>
    <t>АВТОЮНИОН-ВОШ ООО Договор техприсоединения №618-21/3392 от 07.12.2021 КЛ-6кВ отпайка от ВЛ-6кВ ф.№14 ПС №145 "Октябрьская" до КТП 1495</t>
  </si>
  <si>
    <t xml:space="preserve">АСБл 3х240 - 322 м. </t>
  </si>
  <si>
    <t>Болоненко Станислав Николаевич ИП Договор техприсоединения №48-23 от 03.02.2023 КЛ-6кВ КТП 1500-ф.15 ПС370 "Тулица"</t>
  </si>
  <si>
    <t>АСБл 3х240 - 2018 м.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</si>
  <si>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m=1, n=1 (до 50 мм2)</t>
    </r>
  </si>
  <si>
    <t>50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</si>
  <si>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n=1 (50-100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</si>
  <si>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l=1, m=3, n=1 (100-200 мм2) 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</si>
  <si>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l=1, m=3, n=2 (100-200 мм2) 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</si>
  <si>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l=1, m=4, n=1 (200-240 мм2) 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</si>
  <si>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l=1, m=4, n=2 (200-240 мм2) </t>
    </r>
  </si>
  <si>
    <t>150</t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</si>
  <si>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.2.1.1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</si>
  <si>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n=1 (до 50 мм2)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</si>
  <si>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.2.1.4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</si>
  <si>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m=1, n=4 (до 50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</si>
  <si>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n=1 (50-100 мм2)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</si>
  <si>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.2.2.2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</si>
  <si>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m=2, n=2 (50-100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</si>
  <si>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m=3, n=1 (100-200 мм2) 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</si>
  <si>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m=3, n=2 (100-200 мм2) 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</si>
  <si>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n=2 (100-200 мм2) трубы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</si>
  <si>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m=4, n=1 (200-240 мм2) </t>
    </r>
  </si>
  <si>
    <t>Булатова Галина Михайловна Договор техприсоединения №248-21/1419 от 31.05.2021 КТП 1485</t>
  </si>
  <si>
    <t>Комплектная трансформаторная подстанция КТПк-250/6/0,4кВ</t>
  </si>
  <si>
    <t>ИП Старостин Алексей Владимирович Договор техприсоединения №396-22 от 06.05.2022 КТП 1486</t>
  </si>
  <si>
    <t>Комплектная трансформаторная подстанция КТПК-АТ-250/6/0,4</t>
  </si>
  <si>
    <t>Дрягин Михаил Александрович Договор техприсоединения №588-22 от 04.07.2022 Трансформатор ТМ-250/6/0,4; Т-1 (КТП 1487)</t>
  </si>
  <si>
    <t>Комплектная трансформаторная подстанция КТПк-250/6/0,4</t>
  </si>
  <si>
    <t>4.2.1.3.2</t>
  </si>
  <si>
    <t>j=2, k=1, l=3, m=2 (100-250 кВА)</t>
  </si>
  <si>
    <t xml:space="preserve">Вектор СК ООО Договор техприсоединения №199-22 от 24.02.2022 КТП 1481 </t>
  </si>
  <si>
    <t>Комплектная трансформаторная подстанция киоскного типа КТПК-АТ-250/10/0,4-У1</t>
  </si>
  <si>
    <t>Договор подряда № 403 от 26.09.2022 ООО "Компания Электромонтаж"</t>
  </si>
  <si>
    <t>Сенкевич Марина Васильевна Договор техприсоединения №618-22 от 12.07.2022 КТП 1491</t>
  </si>
  <si>
    <t xml:space="preserve">Комплектная трансформаторная подстанция КТПк-250/10/0,4 </t>
  </si>
  <si>
    <t>Ефремов Кирилл Юрьевич Договор техприсоединения №677-21/3497 от 23.12.2021 КТП 1479</t>
  </si>
  <si>
    <t>Комплектная трансформаторная подстанция КТП-400/6/0,4</t>
  </si>
  <si>
    <t>Корчевный Николай Владимирович ИП Договор техприсоединения №642-22 от 18.07.2022 Трансформатор ТМГ-400/6/0,4;  Т-1 КТП 1482</t>
  </si>
  <si>
    <t>Комплектная трансформаторная подстанция КТПК-АТ-400/6/0,4 У1</t>
  </si>
  <si>
    <t>Таратынов Алексей Николаевич Договор техприсоединения №62-22 от 24.01.2022 КТП 1484</t>
  </si>
  <si>
    <t xml:space="preserve">Договор подряда № 461 от 14.11.2022 Геоземкадастр ООО </t>
  </si>
  <si>
    <t>Ткачев Виктор Александрович Договор техприсоединения №683-21/3638 от 23.12.2021 КТП 1478</t>
  </si>
  <si>
    <t>Разумный Илья Дмитриевич Договор техприсоединения №158-22 от 10.02.2022 КТП 1476</t>
  </si>
  <si>
    <t>Комплектная трансформаторная подстанция КТП-400/6/0,4-У1</t>
  </si>
  <si>
    <t>Сергеев Александр Викторович Договор техприсоединения №112-22 от 31.01.2022 Трансформатор ТМ-400/6/0,4; Т-1 (КТП 1488)</t>
  </si>
  <si>
    <t>Подстанция трансформаторная комплекская киоскового типа КТПК-АТ-400/6/0,4-У1</t>
  </si>
  <si>
    <t>Глаголева Зинаида Алексеевна  ИП Договор техприсоединения №748-22 от 13.09.2022 КТП 1489</t>
  </si>
  <si>
    <t>Терехина Людмила Львовна Договор техприсоединения №576-21/3271 от 24.11.2021 Трансформатор силовой ТМГ-400/6/0,4кВА; зав.№ 2070622 - 1 шт.</t>
  </si>
  <si>
    <t>Комплектная трансформаторная подстанция киоскового типа КТПк-400/6/0,4</t>
  </si>
  <si>
    <t>4.1.1.5.3</t>
  </si>
  <si>
    <t>j=1, k=1, l=5, m=3 (400-630 кВА)</t>
  </si>
  <si>
    <t>Болоненко Станислав Николаевич ИП Договор техприсоединения №48-23 от 03.02.2023 Комплектная трансформаторная подстанция КТПК-630/6/0,4 зав.№ - 1 шт.</t>
  </si>
  <si>
    <t xml:space="preserve">Комплектная трансформаторная подстанция КТПК-630/6/0,4 </t>
  </si>
  <si>
    <t>Баал Кулик ООО СЗ Договор техприсоединения №664-21 от 17.12.2021 ТП 1475</t>
  </si>
  <si>
    <t xml:space="preserve">Комплектная трансформаторная подстанция 2КТПНУ-630/6/0,4 </t>
  </si>
  <si>
    <t>Специализированный застройщик Внешстрой АО Договор техприсоединения № 102-22 от 27.01.2022 Трансформатор ТМГ-630/6/0,4; Т-1 (ТП 1483)</t>
  </si>
  <si>
    <t>j=2, k=2, l=5, m=3 (400-630 кВА)</t>
  </si>
  <si>
    <t>Тульский областной центр молодежи ГУ ТО Договор техприсоединения №157-21 от 07.04.2021 ТП 90н</t>
  </si>
  <si>
    <t xml:space="preserve">Комплектная трансформаторная подстанция 2КТП-630/10/0,4 </t>
  </si>
  <si>
    <t>Еремеев Антон Андреевич Договор техприсоединения №572-21/3273 от 23.11.2021 Щит учета на ВЛИ-0,4кВ РП 4 сеть 1 ул. Мосина, д.31 ГСК №19, ГАРАЖ №80</t>
  </si>
  <si>
    <t>Прибор учета 1-ф Меркурий 201.5 зав.№46958345 - 1 шт.</t>
  </si>
  <si>
    <t>Грачева Елена Петровна Договор техприсоединения №856-22 от 23.11.2022 Щит учета на ВЛИ-0,4кВ ТП 681 сеть 3 ГСК №38, гараж №1</t>
  </si>
  <si>
    <t>Прибор учета 1-фазный Меркурий 204 ARTM(2)-01 зав.№48316113 - 1 шт.</t>
  </si>
  <si>
    <t>Акимова Роза Федоровна Договор техприсоединения № 229-22 от 03.03.2022 Щит учета на ВЛИ-0,4кВ РП 4 сеть 1 ул. Мосина, д.31 ГСК №19, ГАРАЖ №49</t>
  </si>
  <si>
    <t>Прибор учета 1-ф Меркурий 201.5 зав.№46971781 - 1 шт.</t>
  </si>
  <si>
    <t>Кузнецов Александр Евгеньевич Договор техприсоединения №826-22 от 02.11.2022 от  Щит учета на ВЛИ-0,4кВ ТП 681 сеть 3 ГСК №38, гараж №8</t>
  </si>
  <si>
    <t>Прибор учета 1-фазный Меркурий 204 ARTM(2)-01 зав.№48316130 - 1 шт.</t>
  </si>
  <si>
    <t>Селиванов Александр Владимирович Договор техприсоединения №877-22 от 07.12.2022 Щит учета на ВЛИ-0,4кВ ТП 681 сеть 3 ГСК №38, гараж №27</t>
  </si>
  <si>
    <t>Прибор учета 1-фазный Меркурий 204 ARTM(2)-01 зав.№48316140 - 1 шт.</t>
  </si>
  <si>
    <t>Сухоруков Роман Валерьевич Договор техприсоединения №821-22 от 01.11.2022 Щит учета на ВЛИ-0,4кВ ТП 681 сеть 3 ГСК №38, гараж №23</t>
  </si>
  <si>
    <t>Прибор учета 1-фазный Меркурий 204 ARTM(2)-01 зав.№48316119 - 1 шт.</t>
  </si>
  <si>
    <t>Евдокимов Анатолий Викторович Договор техприсоединения № 554-22 от 24.06.2022 Щит учета на ВЛИ-0,4кВ КТП 1484 сеть 2 СНТ Комарки, уч. 189, з/у кад. №71:14:020634:190</t>
  </si>
  <si>
    <t>Прибор учета 1-фазный Меркурий 204 ARTMХ2-02 зав.№48329170 - 1 шт.</t>
  </si>
  <si>
    <t>Демин Дмитрий Александрович Договор техприсоединения 40-22 от 20.01.2022 Щит учета на ВЛИ-0,4кВ КТП 1431 сеть 5 СНТ Комарки, уч. 6, кад. №71:14:020634:16</t>
  </si>
  <si>
    <t>Прибор учета 1-фазный Меркурий 204 зав.№47385982 - 1 шт.</t>
  </si>
  <si>
    <t>Безденежных Нина Ивановна Договор техприсоединения №186-22 от 18.02.2022 Щит учета на ВЛИ-0,4кВ КТП 1431 сеть 5 СНТ Комарки, уч. 2, кад. №71:14:020634:12</t>
  </si>
  <si>
    <t>Прибор учета 1-фазный Меркурий 204 зав.№47385981 - 1 шт.</t>
  </si>
  <si>
    <t>Цупикова Юлия Сергеевна Договор техприсоединения №233-22 от 05.03.2022 Щит учета на ВЛИ-0,4кВ КТП 1431 сеть 5 СНТ Комарки, уч. 20, кад. №71:14:020634:31</t>
  </si>
  <si>
    <t>Прибор учета 1-фазный Меркурий 204 зав.№47385863 - 1 шт.</t>
  </si>
  <si>
    <t>Савкин Юрий Александрович Договор техприсоединения № 224-22 от 02.03.2022 Щит учета на ВЛИ-0,4кВ КТП 1431 сеть 5 СНТ Комарки, уч. 9, кад. №71:14:020634:20</t>
  </si>
  <si>
    <t>Прибор учета 1-фазный Меркурий 204 зав.№47385966 - 1 шт.</t>
  </si>
  <si>
    <t>Моисеев Олег Александрович Договор техприсоединения №840-22 от 11.11.2022 Щит учета на ВЛИ-0,4кВ ТП 681 сеть 3 ГСК №38, гараж №20</t>
  </si>
  <si>
    <t>Прибор учета 1-фазный Меркурий 204 ARTM(2)-01 зав.№48313143 - 1 шт.</t>
  </si>
  <si>
    <t>Акимов Дмитрий Юрьевич Договор техприсоединения №197-22 от 22.02.2022 Щит учета на ВЛИ-0,4кВ РП 4 сеть 1 ул. Мосина, д.31 ГСК №19, ГАРАЖ №69</t>
  </si>
  <si>
    <t>Прибор учета 1-ф Меркурий 201.5 зав.№46965656 - 1 шт.</t>
  </si>
  <si>
    <t>Соцкая Татьяна Витальевна Договор техприсоединения №311-22 от 06.04.2022 Щит учета на ВЛИ-0,4кВ КТП 1494, ул. Заречная, д.19б (СТ Рассвет)</t>
  </si>
  <si>
    <t>Прибор учета 1-фазный СЭБ-1ТМ.04Т зав.№1911230040 - 1 шт.</t>
  </si>
  <si>
    <t>Сергеев Александр Викторович Договор техприсоединения №112-22 от 31.01.2022 Щит учета на ВЛИ-0,4кВ КТП 1488 сеть 1 СТ Центрмаркшейдерия, уч.86 кад. №71:30:080408:84</t>
  </si>
  <si>
    <t>Прибор учета 1-фазный Меркурий 234 зав.№49401599 - 1 шт.</t>
  </si>
  <si>
    <t>j=2, k=1 прямого включения</t>
  </si>
  <si>
    <t>Гарбуз Дмитрий Владимирович Договор техприсоединения №23-21/79 от 26.01.2021 Щит учета на ВЛИ-0,4кВ КТП 1306 с. 2 з/у 71:14:020701:1598 д. Ивановка</t>
  </si>
  <si>
    <t>Прибор учета 3-ф Меркурий 230 АМ-01 зав.№47418243 - 1 шт.</t>
  </si>
  <si>
    <t>Договор подряда № 112 от от 08.04.2021 ДИММЕР ООО</t>
  </si>
  <si>
    <t>Филатов Артур Борисович  Договор техприсоединения №582-21/2742 от 24.11.2021 Щит учета на ВЛИ-0,4 кВ КТП 975 сеть 1 пр.1-ый Михалковский ,д.32</t>
  </si>
  <si>
    <t>Прибор учета 3-ф Меркурий 230 АМ-01 зав.№47843872 - 1 шт.</t>
  </si>
  <si>
    <t>Договор подряда № 328 от 08.08.2022 ООО "Компания Электромонтаж"</t>
  </si>
  <si>
    <t>Костюрин Игорь Викторович Договор техприсоединения №127-21/562 от 22.03.2021_рассрочка Щит учета от КЛ-0,4кВ ТП 123 на фасаде здания ул. Пирогова, д.39</t>
  </si>
  <si>
    <t>Прибор учета 3-ф Меркурий 230 АМ-02 зав.№47434358 - 1 шт.</t>
  </si>
  <si>
    <t>Филатов Артур Борисович  Договор техприсоединения №595-21/2836 от 30.11.2021 Щит учета на ВЛИ-0,4кВ КТП 1249 сеть 2 пер. Колхозный, уч. 1, кад.№71:30:020510:355</t>
  </si>
  <si>
    <t>Прибор учета 3-ф ПСЧ-4ТМ.05МК.22.01 зав.№1115221623 - 1 шт.</t>
  </si>
  <si>
    <t>Кораблина Ираида Ивановна Договор техприсоединения № 552-22 от 24.06.2022 Щит учета на ВЛИ-0,4кВ ТП 727 сеть 1 Крутоовражный пр-д,уч. 102 с кад. №71:30:070219:126</t>
  </si>
  <si>
    <t>Прибор учета 3-фазный ПСЧ-4ТМ.05МК.22.12 зав.№1115230843 - 1 шт.</t>
  </si>
  <si>
    <t>Головин Вячеслав Евгеньевич Договор техприсоединения №565-22 от 28.06.2022 Щит учета на ВЛИ-0,4кВ ТП 787сеть 2 СТ № 1 Тулаавтодор, уч.3, кад.№71:30:080304:6</t>
  </si>
  <si>
    <t>Прибор учета 3-фазный ПСЧ-4ТМ.05МК.22.12 зав.№1115230891 - 1 шт.</t>
  </si>
  <si>
    <t>Демина Вера Аркадьевна Договор техприсоединения №167-22 от 14.02.2022 Щит учета на ВЛИ-0,4кВ КТП 1431 сеть 5 СНТ Комарки, уч. 5, кад. №71:14:020634:15</t>
  </si>
  <si>
    <t>Прибор учета 3-фазный ПСЧ-4ТМ.05МК.22.12 зав.№1115230854 - 1 шт.</t>
  </si>
  <si>
    <t>Калинина Зинаида Николаевна Договор техприсоединения №298-22 от 30.03.2022 Щит учета на ВЛИ-0,4кВ КТП 1431 сеть 5 СНТ Комарки, уч. 15, кад. №71:14:020634:26</t>
  </si>
  <si>
    <t>Прибор учета 3-фазный ПСЧ-4ТМ.05МК.22.12 зав.№1115230810 - 1 шт.</t>
  </si>
  <si>
    <t>Таратынов Алексей Николаевич Договор техприсоединения №62-22 от 24.01.2022 Щит учета на ВЛИ-0,4кВ КТП 1484 сеть 2 СНТ Комарки, з/у кад. №71:14:020634:169</t>
  </si>
  <si>
    <t>Прибор учета 3-фазный ПСЧ-4ТМ.05МК.20 зав.№1124220787 - 1 шт.</t>
  </si>
  <si>
    <t>Ткачев Виктор Александрович Договор техприсоединения №683-21/3638 от 23.12.2021 Щит учета на ВЛИ-0,4кВ КТП 1478 СТ Эксперимент, д. 27</t>
  </si>
  <si>
    <t>Прибор учета 3-фазный ПСЧ-4ТМ.05МК.22.01 зав.№1115221574 - 1 шт.</t>
  </si>
  <si>
    <t>Безденежных Юлия Александровна Договор техприсоединения №142-22 от 04.02.2022 Щит учета на ВЛИ-0,4кВ КТП 1431 сеть 5 СНТ Комарки, уч. 4, кад. №71:14:020634:14</t>
  </si>
  <si>
    <t>Прибор учета 3-фазный ПСЧ-4ТМ.05МК.22.12 зав.№1115230803 - 1 шт.</t>
  </si>
  <si>
    <t>Надежина Юлия Юрьевна Договор техприсоединения № 289-22 от 25.03.2022 Щит учета на ВЛИ-0,4кВ КТП 1431 сеть 5 СНТ Комарки, уч. 48, кад. №71:14:020634:57</t>
  </si>
  <si>
    <t>Прибор учета 3-фазный ПСЧ-4ТМ.05МК.22.12 зав.№1117231082 - 1 шт.</t>
  </si>
  <si>
    <t>Миронова Наталья Михайловна Договор техприсоединения №367-22 от 27.04.2022 Щит учета на ВЛИ-0,4кВ КТП 1431 сеть 5 СНТ Комарки, уч. 17, кад. №71:14:020634:28</t>
  </si>
  <si>
    <t>Прибор учета 3-фазный ПСЧ-4ТМ.05МК.22.12 зав.№1115230789 - 1 шт.</t>
  </si>
  <si>
    <t>Филипчева Анастасия Викторовна Договор техприсоединения № 217-22 от 01.03.2022 Щит учета на ВЛИ-0,4кВ КТП 1431 сеть 5 СНТ Комарки, уч. 21, кад. №71:14:020634:32</t>
  </si>
  <si>
    <t>Прибор учета 3-фазный ПСЧ-4ТМ.05МК.22.12 зав.№1115230796 - 1 шт.</t>
  </si>
  <si>
    <t>Шутиков Алексей Васильевич Договор техприсоединения № 221-22 от 01.03.2022 Щит учета на ВЛИ-0,4кВ КТП 1431 сеть 5 СНТ Комарки, уч. 7, кад. №71:14:020634:18</t>
  </si>
  <si>
    <t>Прибор учета 3-фазный ПСЧ-4ТМ.05МК.22.12 зав.№1115230835 - 1 шт.</t>
  </si>
  <si>
    <t>Верховская Марина Вениаминовна Договор техприсоединения №9-22 от 17.01.2022 Щит учета на ВЛИ-0,4кВ КТП 1377 сеть 4 СТ 4 УВД Тулобладминистрации, уч.31,кад. №71:30:080401:26</t>
  </si>
  <si>
    <t>Прибор учета 3-фазный Меркурий 234 ARTMX2-01 зав.№48179033 - 1 шт.</t>
  </si>
  <si>
    <t>Титова Ольга Вячеславовна Договор техприсоединения № 218-22 от 01.03.2022 Щит учета на ВЛИ-0,4кВ КТП 1377 сеть 4 СТ 4 УВД Тулобладминистрации, уч.2,кад. №71:30:080401:316</t>
  </si>
  <si>
    <t>Прибор учета 3-фазный Меркурий 234 ARTMX2-01 зав.№48117382 - 1 шт.</t>
  </si>
  <si>
    <t>Соколова Наталья Николаевна Договор техприсоединения №668-21/3588 от 20.12.2021 Щит учета на ВЛИ-0,4кВ КТП 1377 сеть 4 СТ 4 УВД Тулобладминистрации, уч.32,кад. №71:30:080401:27</t>
  </si>
  <si>
    <t>Прибор учета 3-фазный Меркурий 234 ARTMX2-01 зав.№48179078 - 1 шт.</t>
  </si>
  <si>
    <t>Леуцкий Максим Александрович Договор техприсоединения №487-22 от 08.06.2022 Щит учета на ВЛИ-0,4кВ КТП 1380 сеть 1 СЧЗР, уч.кад. №71:30:010801:119</t>
  </si>
  <si>
    <t>Прибор учета 3-фазный Меркурий 234 ARTMX2-01 зав.№48117364 - 1 шт.</t>
  </si>
  <si>
    <t>Кучеров Алексей Александрович Договор техприсоединения №739-22 от 06.09.2022 Щит учета на ВЛ-0,4кВ ТП 912 сеть 2 ул. Черняховского, кад. №71:30:070804:4313</t>
  </si>
  <si>
    <t>Прибор учета 3-фазный ПСЧ-4ТМ.05МК.22.12 зав.№1115230872 - 1 шт.</t>
  </si>
  <si>
    <t>Договор подряда № 543 от 30.12.2022 ООО "Компания Электромонтаж"</t>
  </si>
  <si>
    <t>Воронина Таисия Алексеевна Договор техприсоединения №452-22 от 27.05.2022 Щит учета на ВЛИ-0,4кВ КТП 1431 сеть 5 СНТ Комарки, уч. 28, кад. №71:14:020634:38</t>
  </si>
  <si>
    <t>Прибор учета 3-фазный ПСЧ-4ТМ.05МК.22.12 зав.№1115230889 - 1 шт.</t>
  </si>
  <si>
    <t>Новиков Иван Иванович Договор техприсоединения №669-21/3559 от 20.12.2021 Щит учета на ВЛИ-0,4кВ КТП 1431 сеть 5 СНТ Комарки, уч. 1, кад. №71:14:020634:11</t>
  </si>
  <si>
    <t>Прибор учета 3-фазный ПСЧ-4ТМ.05МК.22.12 зав.№1115230804 - 1 шт.</t>
  </si>
  <si>
    <t>Семочкин Вадим Евгеньевич Договор техприсоединения №658-21/3447 от 16.12.2021 Щит учета на ВЛИ-0,4кВ ТП 451 ул. Гоголевская, ГСК №22, гараж №18</t>
  </si>
  <si>
    <t>Прибор учета 3-фазный Меркурий 204 ARTMX2-02 зав.№49405494 - 1 шт.</t>
  </si>
  <si>
    <t>Договор подряда № 156 от 02.05.2023 ООО ЭЛЕКТРОН</t>
  </si>
  <si>
    <t>Ефремов Кирилл Юрьевич Договор техприсоединения №677-21/3497 от 23.12.2021 Щит учета на ВЛИ-0,4кВ КТП 1479 с.1ул. Фестивальная, 124, СНТ "Строитель", уч.145,з/у71:30:060604:24</t>
  </si>
  <si>
    <t>Прибор учета 3-ф ПСЧ-4ТМ.05МК.22.01 зав.№1115221544 - 1 шт.</t>
  </si>
  <si>
    <t>Меликян Рипсиме Гарниковна Договор техприсоединения №316-22 от 06.04.2022 Щит учета на ВЛИ-0,4кВ КТП 1326 сеть 3  ул. Шатская, з/у кад. №71:30:030602:308</t>
  </si>
  <si>
    <t>Прибор учета 3-ф Меркурий 234 ARTM2-01 зав.№47292415 - 1 шт.</t>
  </si>
  <si>
    <t>Ишунина Кристина Сергеевна Договор техприсоединения №402-21/1952 от 19.08.2021 Щит учета на ВЛИ-0,4кВ КТП 1326 сеть 3  3-й Бежковский проезд, д.26</t>
  </si>
  <si>
    <t>Прибор учета 3-ф Меркурий 230 ART-01 зав.№46018161 - 1 шт.</t>
  </si>
  <si>
    <t>Панов Юрий Владимирович Договор техприсоединения № 232-22 от 04.03.2022 Щит учета на ВЛИ-0,4кВ КТП 1431 сеть 5 СНТ Комарки, уч. 41 и 42, кад. №71:14:020634:206</t>
  </si>
  <si>
    <t>Прибор учета 3-фазный ПСЧ-4ТМ.05МК.22.12 зав.№1115230817 - 1 шт.</t>
  </si>
  <si>
    <t>Моисеев Дмитрий Борисович Договор техприсоединения №818-22 от 28.10.2022 Щит учета на ВЛИ-0,4кВ ТП 681 сеть 3 ГСК №38, гараж №14</t>
  </si>
  <si>
    <t>Прибор учета 3-фазный ПСЧ-4ТМ.05МК.20 зав.№1115230986 - 1 шт.</t>
  </si>
  <si>
    <t>Ермоленко Александр Сергеевич Договор техприсоединения №632-22 от 15.07.2022 Щит учета на ВЛИ-0,4кВ КТП 1365 сеть 2 СТ Восход, уч.9, зу кад. №71:30:080211:22</t>
  </si>
  <si>
    <t>Прибор учета 3-фазный ПСЧ-4ТМ.05МК.24.01 зав.№1120220770 - 1 шт.</t>
  </si>
  <si>
    <t>Титов Анатолий Александрович Договор техприсоединения № 215-22 от 01.03.2022 Щит учета на ВЛИ-0,4кВ КТП 1377 сеть 4 СТ 4 УВД Тулобладминистрации, уч.1,кад. №71:30:080401:10</t>
  </si>
  <si>
    <t>Прибор учета 3-фазный Меркурий 234 ARTMX2-01 зав.№48117349 - 1 шт.</t>
  </si>
  <si>
    <t>Морозова Татьяна Владимировна Договор техприсоединения №207-22 от 28.02.2022 Щит учета на ВЛИ-0,4кВ КТП 1431 сеть 5 СНТ Комарки, уч. 12, кад. №71:14:020634:23</t>
  </si>
  <si>
    <t>Прибор учета 3-фазный ПСЧ-4ТМ.05МК.22.12 зав.№1115230829 - 1 шт.</t>
  </si>
  <si>
    <t>Рогова Оксана Анатольевна Договор техприсоединения №391-22 от 05.05.2022 Щит учета на ВЛИ-0,4кВ КТП 1377 сеть 4 СТ 4 УВД Тулобладминистрации, уч.42,кад. №71:30:080401:37</t>
  </si>
  <si>
    <t>Прибор учета 3-фазный Меркурий 234 ARTMX2-01 зав.№48117377 - 1 шт.</t>
  </si>
  <si>
    <t>Леонов Сергей Эдуардович Договор техприсоединения № 225-22 от 02.03.2022 Щит учета на ВЛИ-0,4кВ КТП 1431 сеть 5 СНТ Комарки, уч. 23, кад. №71:14:020634:34</t>
  </si>
  <si>
    <t>Прибор учета 3-фазный ПСЧ-4ТМ.05МК.22.12 зав.№1115230842 - 1 шт.</t>
  </si>
  <si>
    <t>Соколова Любовь Ивановна Договор техприсоединения №651-21/3561 от 15.12.2021 Щит учета на ВЛИ-0,4кВ КТП 1377 сеть 4 СТ 4 УВД Тулобладминистрации, уч.11,кад. №71:30:080401:2</t>
  </si>
  <si>
    <t>Прибор учета 3-фазный Меркурий 234 ARTMX2-01 зав.№48179057 - 1 шт.</t>
  </si>
  <si>
    <t>Лафорж Денис Игоревич Договор техприсоединения №573-21/3270 от 23.11.2021 Щит учета на ВЛИ-0,4кВ КТП 1377 сеть 4 СТ 4 УВД Тулобладминистрации, уч.7,кад. №71:30:080401:7</t>
  </si>
  <si>
    <t>Прибор учета 3-фазный Меркурий 234 ARTMX2-01 зав.№48179082 - 1 шт.</t>
  </si>
  <si>
    <t>Морская Олеся Валерьевна Договор техприсоединения №848-22 от 17.11.2022 Щит учета на ВЛИ-0,4 кВ ТП 1248 сеть 3 ул. Одоевская, д.61, кад. №71:30:040201:59</t>
  </si>
  <si>
    <t>Прибор учета 3-фазный ПСЧ-4ТМ.05МК.22.12 зав.№1115230824 - 1 шт.</t>
  </si>
  <si>
    <t>Селезнева Алла Владимировна Договор техприсоединения №792-22 от 06.10.2022 Щит учета на ВЛИ-0,4кВ ТП 451 ул. Гоголевская, ГСК №22, гараж №8</t>
  </si>
  <si>
    <t>Прибор учета 3-фазный Меркурий 204 ARTMX2-02 зав.№49405511 - 1 шт.</t>
  </si>
  <si>
    <t>Хромовичева Наталья Александровна Договор техприсоединения №705-21/3700 от 30.12.2021 Щит учета на ВЛИ-0,4кВ КТП 1377 сеть 4 СТ 4 УВД Тулобладминистрации, уч.48,кад. №71:30:080401:42</t>
  </si>
  <si>
    <t>Прибор учета 3-фазный Меркурий 234 ARTMX2-01 зав.№48179030 - 1 шт.</t>
  </si>
  <si>
    <t>Русакова Елена Александровна Договор техприсоединения № 899-22 от 15.12.2022 Щит учета на ВЛИ-0,4кВ ТП 627 сеть 5, п.2-й Западный, ул. Новоселов, д.5, КАД. №71:30:080411:65</t>
  </si>
  <si>
    <t>Прибор учета 3-фазный Меркурий 234 ARTMX2-02 зав.№49401055 - 1 шт.</t>
  </si>
  <si>
    <t>Леньшина Татьяна Петровна Договор техприсоединения №448-22 от 26.05.2022 Щит учета на ВЛИ-0,4кВ КТП 1476 сеть 1 Хомяковское ш. 2, СНТ №6 ТОЗ, з/у кад. №71:30:060624:56</t>
  </si>
  <si>
    <t>Прибор учета 3-фазный ПСЧ-4ТМ.05МК.22.01 зав.№1115221706 - 1 шт.</t>
  </si>
  <si>
    <t>Малиновская Лидия Михайловна Договор техприсоединения №885-22 от 09.12.2022 Щит учета на ВЛИ-0,4кВ КТП 1466 сеть 1 ул. Киреевская,8 СНТ "Строитель,уч.10, кад.№71:30:080405:7</t>
  </si>
  <si>
    <t>Прибор учета 3-фазный Меркурий 234 ARTMX2-01 зав.№49436842 - 1 шт.</t>
  </si>
  <si>
    <t>Терехина Людмила Львовна Договор техприсоединения №576-21/3271 от 24.11.2021 Щит учета на ВЛИ-0,4кВ КТП 1494 СТ Рассвет,д.46 кад. №71:30:060605:117</t>
  </si>
  <si>
    <t>Прибор учета 3-фазный ПСЧ-4ТМ.05МК.20.12 зав.№1118231245 - 1 шт.</t>
  </si>
  <si>
    <t>Копко Андрей Александрович Договор техприсоединения №38-23 от 27.01.2023 Щит учета на ВЛИ-0,4кВ КТП 1476 сеть2, Хомяковское ш.,2, СТ "Сад №6" ТОЗ,зем.уч.кад№71:30:060624:124</t>
  </si>
  <si>
    <t>Прибор учета 3-фазный Меркурий 234 зав.№49405453 - 1 шт.</t>
  </si>
  <si>
    <t>Богаткова Марина Сергеевна Договор техприсоединения №592-22 от 05.07.2022 Щит учета на ВЛИ-0,4кВ КТП 1339 сеть 1, ул.Фестивальная,142,СНТ"ХОЭМЗ", КАД. №71:30:060619:58</t>
  </si>
  <si>
    <t>Прибор учета 3-фазный Меркурий 234 ARTMX2-02 зав.№49401043 - 1 шт.</t>
  </si>
  <si>
    <t>Хиндикайнен Вадим Иванович Договор техприсоединения № 726-22 от 29.08.2022 Щит учета на ВЛИ-0,4кВ КТП 1487 сеть 2 ,п. Рудаково, ул. Дачная, д.18, кад. №71:30:080216:14</t>
  </si>
  <si>
    <t>Прибор учета 3-фазный Меркурий 234 ARTMX2-01 зав.№ 48108776 - 1 шт.</t>
  </si>
  <si>
    <t>Михайлин Владислав Владимирович Договор техприсоединения №845-22 от 16.11.2022 Щит учета на ВЛИ-0,4кВ  КТП 320 сеть 1 ул. Сойфера, д.13, ГК "Автолюбитель", гараж 4</t>
  </si>
  <si>
    <t>Прибор учета 3-фазный Меркурий 234 ARTMX2-02 зав.№49401608 - 1 шт.</t>
  </si>
  <si>
    <t>Самонина Ирина Николаевна Договор техприсоединения №612-21/3372 от 06.12.2021 Щит учета на ВЛИ-0,4кВ КТП 1494 СТ Рассвет, уч.166, кад. №71:30:060605:188</t>
  </si>
  <si>
    <t>Прибор учета 3-фазный ПСЧ-4ТМ.05МК.20.12 зав.№1121230795 - 1 шт.</t>
  </si>
  <si>
    <t>Бовдур Евгений Николаевич Договор техприсоединения №705-22 от 18.08.2022 Щит учета на ВЛИ-0,4кВ ТП 1339 сеть 2 ул. Фестивальная,142, СНТ "ХОЭМЗ", кад.№71:30:060619:159</t>
  </si>
  <si>
    <t>Прибор учета 3-фазный Меркурий 234 ARTMX2-01 зав.№49436856 - 1 шт.</t>
  </si>
  <si>
    <t>Дрягин Михаил Александрович Договор техприсоединения №588-22 от 04.07.2022 Щит учета на ВЛИ-0,4кВ сеть 1 КТП 1487, СНТ Урожай, уч. №1, кад. №71:30:080213:50</t>
  </si>
  <si>
    <t>Прибор учета 3-фазный ПСЧ-4ТМ.05МК.22.12 зав.№ 1117231074 - 1 шт.</t>
  </si>
  <si>
    <t>Сафиева Елена Анатольевна Договор техприсоединения №184-23 от 15.05.2023 Щит учета на ВЛИ-0,4кВ КТП 1476 сеть 1, Хомяковское ш., 2, СТ "Сад №6 ТОЗ зем. уч. №71:30:060624:46</t>
  </si>
  <si>
    <t>Прибор учета 3-фазный Меркурий 234 ARTMX2-01 зав.№ 49405471 - 1 шт.</t>
  </si>
  <si>
    <t>Договор подряда № 291 от 31.07.2023 МЕХКОЛОННА № 26 ООО</t>
  </si>
  <si>
    <t>Сенкевич Марина Васильевна Договор техприсоединения №618-22 от 12.07.2022 Щит учета на ВЛИ-0,4кВ КТП 1491 сеть 1, СНТ "Керамик", д.16, кад. №71:30:050412:67</t>
  </si>
  <si>
    <t>Прибор учета 3-фазный Меркурий 234 зав.№49405461 - 1 шт.</t>
  </si>
  <si>
    <t>Ванина Ольга Валериевна Договор техприсоединения №659-21/3585 от 16.12.2021 Щит учета на ВЛИ-0,4кВ КТП 1494 СТ Рассвет, уч.91, кад. №71:30:060605:146</t>
  </si>
  <si>
    <t>Прибор учета 3-фазный ПСЧ-4ТМ.05МК.20.12 зав.№1121230806 - 1 шт.</t>
  </si>
  <si>
    <t>Смолянинова Лариса Николаевна ИП Договор техприсоединения № 901-22 от 16.12.2022 Измерительный комплекс ТП 151 ул. Октябрьская, д.11б, кад. №71:30:010229:6</t>
  </si>
  <si>
    <t>Прибор учета 3-фазный ПСЧ-4ТМ.05МК.16 зав.№1123230435 - 1 шт.</t>
  </si>
  <si>
    <t>Фатеев Андрей Александрович Договор техприсоединения №115-22 от 31.01.2022 Щит учета на ВЛИ-0,4кВ КТП 1494 СТ Рассвет, уч.124, кад. №71:30:060605:173</t>
  </si>
  <si>
    <t>Прибор учета 3-фазный ПСЧ-4ТМ.05МК.20.12 зав.№1121230803 - 1 шт.</t>
  </si>
  <si>
    <t>j=2, k=2 полукосвенного включения</t>
  </si>
  <si>
    <t>Грудинин Николай Николаевич ИП  Договор техприсоединения №49-23 от 03.02.2023 Измерительный комплекс №4 КТП 1500 Веневское шоссе, на зем. уч кад.№71:30:030906:848</t>
  </si>
  <si>
    <t>Прибор учета 3-фазный Меркурий 234 ARTMX2-03 зав.№ - 1 шт.</t>
  </si>
  <si>
    <t>Субботин Михаил Иванович ИП Договор техприсоединения №597-21/3319 от 30.11.2021 Щит учета на КЛ-0,4 кВ РП 11 Китаевский пр., д.4</t>
  </si>
  <si>
    <t>Прибор учета 3-ф Меркурий 230 AM-03 зав.№46436385 (с ТТИ-250/5 -3 шт.) - 1 шт.</t>
  </si>
  <si>
    <t xml:space="preserve">Договор подряда № 191 от 18.05.2022 Геоземкадастр ООО </t>
  </si>
  <si>
    <t>Павлов Евгений Петрович Договор техприсоединения №246-21/1436 от 31.05.2021 Щит учета на КЛ-0,4кВ КТП 756 ул. Н.Волоховская,  уч..54, кад. №71:30:020612:880.</t>
  </si>
  <si>
    <t>Прибор учета 3-ф Меркурий 230-AM-03 зав.№46285117 - 1 шт.</t>
  </si>
  <si>
    <t>Специализированный застройщик "Горн" ООО Договор техприсоединения №257-22 от 15.03.2022 Измерительный комплекс в РУ-0,4кВ 2 СкШ КТП абон.ООО СЗ"ГОРН"ул.Путейская,д11,кад.№71:30:020601:3482</t>
  </si>
  <si>
    <t>Прибор учета 3-фазный ПСЧ-4ТМ.05МК.16.12 зав.№1121232012 - 1 шт.</t>
  </si>
  <si>
    <t xml:space="preserve">Договор подряда № 56 от 10.02.2023 Геоземкадастр ООО </t>
  </si>
  <si>
    <t>Специализированный застройщик "Горн" ООО Договор техприсоединения №257-22 от 15.03.2022 Измерительный комплекс в РУ-0,4кВ 1 СкШ КТП абон.ООО СЗ"ГОРН"ул.Путейская,д11,кад.№71:30:020601:3482</t>
  </si>
  <si>
    <t>Прибор учета 3-фазный ПСЧ-4ТМ.05МК.16.12 зав.№1121231392 - 1 шт.</t>
  </si>
  <si>
    <t>Подгурский Александр Георгиевич ИП Договор техприсоединения №47-23 от 03.02.2023 Измерительный комплекс №2 КТП 1500 Веневское шоссе, на зем. уч кад.№71:30:030906:860</t>
  </si>
  <si>
    <t>Летягина Мария Антоновна ИП Договор техприсоединения №81-21/290 от 25.02.2021 Щит учета №1 на КЛ-0,4кВ 1 ск.ш. РП 47 пр-т Ленина,131, з/у кад. №71:30:050401:80</t>
  </si>
  <si>
    <t>Прибор учета 3-фазный Меркурий 230 AM-03 зав.№46903971 - 1 шт.</t>
  </si>
  <si>
    <t>Летягина Мария Антоновна ИП Договор техприсоединения №81-21/290 от 25.02.2021 Щит учета №2 на КЛ-0,4кВ 2 ск.ш. РП 47 пр-т Ленина,131, з/у кад. №71:30:050401:80</t>
  </si>
  <si>
    <t>Прибор учета 3-фазный Меркурий 230 AM-03 зав.№48970541 - 1 шт.</t>
  </si>
  <si>
    <t>ИП Петрушкин Роман Васильевич Договор техприсоединения №384-22 от 04.05.2022 Щит учета от КЛ-0,4кВ ТП 351 на зем. уч., кад. №71:14:030501:13457</t>
  </si>
  <si>
    <t>Прибор учета 3-фазный ПСЧ-4ТМ.05МК.04 зав.№1118230485 - 1 шт.</t>
  </si>
  <si>
    <t>Ремжилхоз МУП  Договор техприсоединения №427-22 от 20.05.2022 Щит учета № 1 от КЛ-0,4кВ 1 СкШ ТП 454 на внешней стене здания Марата, д.71</t>
  </si>
  <si>
    <t>Прибор учета 3-фазный ПСЧ-4ТМ.05МК.04 зав.№1121230264 - 1 шт.</t>
  </si>
  <si>
    <t>Ремжилхоз МУП  Договор техприсоединения №427-22 от 20.05.2022 Щит учета № 2 от КЛ-0,4кВ 2 СкШ ТП 454 на внешней стене здания Марата, д.71</t>
  </si>
  <si>
    <t>Прибор учета 3-фазный ПСЧ-4ТМ.05МК.04 зав.№1121230459 - 1 шт.</t>
  </si>
  <si>
    <t>Болоненко Станислав Николаевич ИП Договор техприсоединения №48-23 от 03.02.2023 Измерительный комплекс №1 КТП 1500 Веневское шоссе, на зем. уч кад.№71:30:030906:861</t>
  </si>
  <si>
    <t>Сорокин Антон Валентинович Договор техприсоединения №240-22 от 09.03.2022 Щит учета на ВЛИ-0,4кВ КТП 1245 сеть 3 ул. Кольцова, уч.3, кад. №71:30:030113:5026</t>
  </si>
  <si>
    <t>Прибор учета 3-ф Меркурий 234 АRTМ2-03 зав.№47153311 - 1 шт.</t>
  </si>
  <si>
    <t>Глаголева Зинаида Алексеевна  ИП Договор техприсоединения №748-22 от 13.09.2022 Измерительный комплекс КТП 1489 ул. Чмутова, д.1-а (лит. Л)</t>
  </si>
  <si>
    <t>Прибор учета 3-фазный ПСЧ-4ТМ.05МК.16.01 зав.№1118230787 - 1 шт.</t>
  </si>
  <si>
    <t>Михайлин Сергей Михайлович ИП Договор техприсоединения №63-23 от 17.02.2023 Измерительный комплекс в ВРУ нежилого пом ул Макаренко,2, помещение 1-4,12-15,36,37,39,43,44 (1этаж)</t>
  </si>
  <si>
    <t>Прибор учета 3-фазный ПСЧ-4ТМ.05МК.16 зав.№1120230962 - 1 шт.</t>
  </si>
  <si>
    <t>Региональный фонд развития жилищного строительства и ипотечного кредитования Договор техприсоединения № 1-22 от 10.01.2022 Щит учета у стены КТП 1116 ул. Невская/ул. Тверская</t>
  </si>
  <si>
    <t>Прибор учета 3-фазный ПСЧ-4ТМ.05МК.04 зав.№1114230610 - 1 шт.</t>
  </si>
  <si>
    <t>Черный потолок ООО Договор техприсоединения №752-22 от 16.09.2022 Измерительный комплекс в ВРУ нежилое помещение ул. Смидович, д.16, пом.1</t>
  </si>
  <si>
    <t>Прибор учета 3-фазный Меркурий 234 ARTMX2-03 зав.№49033900 - 1 шт.</t>
  </si>
  <si>
    <t>Центр детской психоневрологии ГУЗ ТО Договор техприсоединения №824-22 от 01.11.2022 Измерительный комплекс в ВРУ-1 нежилое здание ул. Бундурина, д.43/132</t>
  </si>
  <si>
    <t>Прибор учета 3-фазный Меркурий 234 ARTMX2-03 зав.№48384296 - 1 шт.</t>
  </si>
  <si>
    <t>Центр детской психоневрологии ГУЗ ТО Договор техприсоединения №824-22 от 01.11.2022 Измерительный комплекс в ВРУ-2 нежилое здание ул. Бундурина, д.43/132</t>
  </si>
  <si>
    <t>Прибор учета 3-фазный Меркурий 234 ARTMX2-03 зав.№47846084 - 1 шт.</t>
  </si>
  <si>
    <t>Федулаева Наталия Анатольевна ИП Договор техприсоединения №46-23 от 03.02.2023 Измерительный комплекс №3 КТП 1500 Веневское шоссе, на зем. уч кад.№71:30:030906:849</t>
  </si>
  <si>
    <t>Ковалевская Татьяна Николаевна ИП Договор техприсоединения №406-20/3643 от 18.11.2020 Щит учета на КЛ-0,4кВ ТП 92 ул. Лейтейзина, неж.зд. кад. №71:30:040114:3118</t>
  </si>
  <si>
    <t>Прибор учета 3-фазный Меркурий 230 АМ-03 зав.№47904835 - 1 шт.</t>
  </si>
  <si>
    <t>Договор подряда № 492 от 02.12.2022 ООО ЭЛЕКТРОН</t>
  </si>
  <si>
    <t>ИНТЕРМОСТ ООО Договор техприсоединения №302-22 от 31.03.2022 Щит учета на ВЛИ-0,4кВ ТП 289 сеть 5, ул. 1-я Песчанная и ул. Комбайновая</t>
  </si>
  <si>
    <t>Прибор учета 3-ф Меркурий 234 АRTМХ2-03 зав.№48331089 - 1 шт.</t>
  </si>
  <si>
    <t>Специализированный застройщик Внешстрой АО Договор техприсоединения №755-22 от 19.09.2022 Щит учета №1 КЛ-0,4кВ 1 СкШ ТП 1483 на зем. уч.пос.2-й Западный, ул. Маяков., уч.№71:30:080411:2044</t>
  </si>
  <si>
    <t>Прибор учета 3-фазный ПСЧ-4ТМ.05МК.16.12 зав.№1117230951 - 1 шт.</t>
  </si>
  <si>
    <t>Специализированный застройщик Внешстрой АО Договор техприсоединения №755-22 от 19.09.2022 Щит учета №2 КЛ-0,4кВ 2 СкШ ТП 1483 на зем. уч.пос.2-й Западный, ул. Маяков., уч.№71:30:080411:2044</t>
  </si>
  <si>
    <t>Прибор учета 3-фазный ПСЧ-4ТМ.05МК.16.12 зав.№1117230934 - 1 шт.</t>
  </si>
  <si>
    <t>Козинкин Владислав Анатольевич ИП Договор техприсоединения №116-23 от 30.03.2023 Щит учета от КЛ-0,4кВ ТП 151 на зем. уч. ул. Октябрьская, д.11А, КАД. №71:30:010229:3</t>
  </si>
  <si>
    <t>Прибор учета 3-фазный ПСЧ-4ТМ.05МК.16 зав.№ 1123230438 - 1 шт.</t>
  </si>
  <si>
    <t xml:space="preserve">Региональный фонд развития жилищного строительства и ипотечного кредитования Договор техприсоединения № 1-22 от 10.01.2022 Щит учета от КЛ-0,4кВ ТП 690 на уч. пос. Михалково,кад. №71:30:020513:775 </t>
  </si>
  <si>
    <t>Прибор учета 3-фазный ПСЧ-4ТМ.05МК.04 зав.№1114230611 - 1 шт.</t>
  </si>
  <si>
    <t>ИП Алпатов Руслан Валерьевич Договор техприсоединения №875-22 от 05.12.2022 Щит учета от КЛ-0,4кВ ТП 413 на зем.уч. ул. Сурикова, д.12а, кад. №71:30:020401:4555</t>
  </si>
  <si>
    <t>Прибор учета 3-фазный ПСЧ-4ТМ.05МК.16.12 зав.№1117230956 - 1 шт.</t>
  </si>
  <si>
    <t>ИП Старостин Алексей Владимирович Договор техприсоединения №396-22 от 06.05.2022 Щит учета от КЛ-0,4 КВ  КТП 1486 на з/у ул. Хомяковская,8а, кад. №71:30:060704:450</t>
  </si>
  <si>
    <t>Прибор учета 3-ф ПСЧ-4ТМ.05МК.16.12 зав.№1115230699 (с ТТИ-А 250/5 - 3 шт.) - 1 шт.</t>
  </si>
  <si>
    <t>Лицей № 1 МАОУ Договор техприсоединения №87-23 от 13.03.2023 Щит учета от КЛ-0,4кВ ТП 334н  на зем. участке ул. Пушкинская, д.16</t>
  </si>
  <si>
    <t>Прибор учета 3-фазный Меркурий 234 ARTMX2-03 зав.№48384368 - 1 шт.</t>
  </si>
  <si>
    <t>Бардина Татьяна Ивановна ИП Договор техприсоединения №648-22 от 20.07.2022 Щит учета от КЛ-0,4 кВ ТП 217 на з/у ул. Ш.Руставели, д.2</t>
  </si>
  <si>
    <t>Прибор учета 3-фазный ПСЧ-4ТМ.05МК.16.12 зав.№1117230961 - 1 шт.</t>
  </si>
  <si>
    <t>Кузнецов Юрий Евгеньевич Договор техприсоединения №579-21/3262 от 24.11.2021 Щит учета от КЛ-0,4кВ ТП 188, ул. Арсенальная, д.10, уч.кад. :71:30:010219:11999</t>
  </si>
  <si>
    <t>Прибор учета 3-фазный ПСЧ-4ТМ.05МК.16.12 зав.№1120230973 - 1 шт.</t>
  </si>
  <si>
    <t>Филатов Артур Борисович ИП Договор техприсоединения №287-21/1646 от 23.06.2021 Щит учета на КЛ-0,4кВ ТП 19 з/у кад. № 71:30:050103:1362 ул. Войкова/Староникитская</t>
  </si>
  <si>
    <t>Прибор учета 3-фазный Меркурий 230 AM-03 зав.№46419744 - 1 шт.</t>
  </si>
  <si>
    <t>ИП Трынков Александр Анатольевич Договор техприсоединения №291-22 от 28.03.2022 Щит учета на КЛ-0,4кВ ТП 40 ул. Советская, 80, 82</t>
  </si>
  <si>
    <t>Прибор учета 3-фазный ПСЧ-4ТМ.05МК.04 зав.№1114230149 - 1 шт.</t>
  </si>
  <si>
    <t>Зодчий ООО Договор техприсоединения № 222-22 от 01.03.2022 Щит учета от КЛ-0,4 кВ ТП 124 на з/у ул.Кауля, д.45, корп. 4</t>
  </si>
  <si>
    <t>Прибор учета 3-фазный Меркурий 234 ARTMX2-03 зав.№48384332 - 1 шт.</t>
  </si>
  <si>
    <t>Сорокин Антон Валентинович Договор техприсоединения №380-21/1618 от 10.08.2021 Щит учета на КЛ-0,4кВ от ВЛИ с.2 КТП 1441 пр-д 2-й Клинской, уч. 2А участок №71:30:020105:1514</t>
  </si>
  <si>
    <t>Прибор учета 3-ф Меркурий 230 AM-03 зав.№46285126 (с ТТИ-250/5 -3 шт.) - 1 шт.</t>
  </si>
  <si>
    <t>Чумаков Сергей Владимирович Договор техприсоединения №602-21/3336 от 01.12.2021 Щит учета на КЛ-0,4кВ ТП 40 ул. Тургеневская/Жуковского, з/у кад. №71:30:050202:1692</t>
  </si>
  <si>
    <t>Прибор учета 3-ф Меркурий 230 АМ-03 зав.№46535823 (с трансформаторами ТТИ-А 250/5 - 3 шт.) - 1 шт.</t>
  </si>
  <si>
    <t>Бондаренко Василий Иванович Договор техприсоединения №428-22 от 20.05.2022 Щит учета на з/у д.Малевка, кад.№71:14:030501:13459 (КЛ-0,4 кВ ТП 327)</t>
  </si>
  <si>
    <t>Прибор учета 3-ф ПСЧ-4ТМ.05МК.16.01 зав.№1115220996 с 3-мя трансформаторами тока ТТИ-А 250/5 - 1 шт.</t>
  </si>
  <si>
    <t>Корчевный Николай Владимирович ИП Договор техприсоединения №788-22 от 05.10.2022 Щит учета на КЛ-0,4кВ РП 52 Красноармейский пр, д.44</t>
  </si>
  <si>
    <t>Прибор учета 3-ф ПСЧ-4ТМ.05МК.16.01 зав.№1124220668, с 3-мя трансформаторами тока ТТИ-А 250/5 - 1 шт.</t>
  </si>
  <si>
    <t>Фобос ООО Договор техприсоединения №682-22 от 01.08.2022 Щит учета на КЛ-0,4кВ РП 11 ул. Привокзальная, зу кад.№71:30:020219:1774</t>
  </si>
  <si>
    <t>Прибор учета 3-фазный ПСЧ-4ТМ.05МК.16.12 зав.№1115230697 (трансформаторы тока ТТИ-А 250/5 - 3 шт.) - 1 шт.</t>
  </si>
  <si>
    <t>Чистые решения ООО Договор техприсоединения №632-21/3306 от 13.12.2021 Щит учета №2 от КЛ-0,4кВ каб. 2 ТП 389 на з/у ул.Пушкинская,д.41,кад.№ 71:30:040119:29</t>
  </si>
  <si>
    <t>Прибор учета 3-фазный ПСЧ-4ТМ.05МК.16 зав.№1115230600 (трансформаторы тока ТТИ-А 200/5 - 3 шт.) - 1 шт.</t>
  </si>
  <si>
    <t>Договор подряда № 478 от 28.11.2022 ООО "Компания Электромонтаж"</t>
  </si>
  <si>
    <t>Золин Андрей Владимирович Договор техприсоединения № 544-22 от 22.06.2022 Щит учета на КЛ-0,4кВ ТП 532 ул. Тимирязева, д. 101-г</t>
  </si>
  <si>
    <t>Прибор учета 3-фазный ПСЧ-4ТМ.05МК.16.01 (трансформаторы тока ТТИ-А 200/5 А -3 шт.) зав.№1124220641 - 1 шт.</t>
  </si>
  <si>
    <t>Бондаренко Василий Иванович Договор техприсоединения №455-22 от 27.05.2022 Щит учета от КЛ-0,4 кВ КТП 1346 ул. Карпова/29-й пр-д, зу кад. № 71:30:010501:299</t>
  </si>
  <si>
    <t>Прибор учета 3-фазный ПСЧ-4ТМ.05МК.16 (трансформаторы тока TTE-A 300/5 А - 3 шт.) зав.№1115231293 - 1 шт.</t>
  </si>
  <si>
    <t>Куценков Александр Николаевич  Договор техприсоединения №110-22 от 31.01.2022 Щит учета на КЛ-0,4кВ ТП 816 на з/у ул. Н.Островского, д.71</t>
  </si>
  <si>
    <t>Прибор учета 3-фазный Меркурий 234 ARTMX2-03 зав.№47280887 - 1 шт.</t>
  </si>
  <si>
    <t>Чистые решения ООО Договор техприсоединения №632-21/3306 от 13.12.2021 Щит учета №1 от КЛ-0,4кВ каб. 1 ТП 389 на з/у ул.Пушкинская,д.41,кад.№ 71:30:040119:29</t>
  </si>
  <si>
    <t>Прибор учета 3-фазный ПСЧ-4ТМ.05МК.16.12 зав.№1115230696 (трансформаторы тока ТТИ-А 200/5 - 3 шт.) - 1 шт.</t>
  </si>
  <si>
    <t>j=2, k=3 косвенного включения 1-10 кВ</t>
  </si>
  <si>
    <t>Таратынов Алексей Николаевич Договор техприсоединения №62-22 от 24.01.2022 Прибор учета РИМ 384.01/2 на оп. №1 отп.ВЛ-6 кВ Ф.Новомедвенский-КТП 1431, КТП 1484</t>
  </si>
  <si>
    <t>Прибор учета 3-фазный РИМ 384.01/2 зав.№031474, зав.031472, дисплей дистанционный РиМ 040.03-12 зав.№01251386 - 1 компл.</t>
  </si>
  <si>
    <t>7. Ф.И.О. руководителя: Генеральный директор АО "ТГЭС" Захаров С.Ю.</t>
  </si>
  <si>
    <t>2. Сокращенное наименование:  АО "ТГЭС"</t>
  </si>
  <si>
    <t xml:space="preserve">                        АО "ТГЭС" на  2026 год</t>
  </si>
  <si>
    <r>
      <t xml:space="preserve"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АО "Тульские городские электрические сети", а также на обеспечение средствами коммерческого учета электрической энергии (мощности) </t>
    </r>
    <r>
      <rPr>
        <b/>
        <u/>
        <sz val="12"/>
        <rFont val="Times New Roman"/>
        <family val="1"/>
        <charset val="204"/>
      </rPr>
      <t>за 2024 год</t>
    </r>
    <r>
      <rPr>
        <b/>
        <sz val="12"/>
        <rFont val="Times New Roman"/>
        <family val="1"/>
        <charset val="204"/>
      </rPr>
      <t xml:space="preserve">
</t>
    </r>
  </si>
  <si>
    <t>Артемов Виктор Геннадьевич, Договор техприсоединения №504-22 от 15.06.2022, ВЛИ-0,4кВ КТП 1484 сеть 3,СНТ Комарки, уч.123, кад. №71:14:020634:130</t>
  </si>
  <si>
    <t>Договор подряда № 493 от 19.12.2023, МЕХКОЛОННА № 26 ООО</t>
  </si>
  <si>
    <t>Давидович Александр Владимирович, Договор техприсоединения №208-22 от 28.02.2022, ВЛИ-0,4кВ КТП 1484 сеть 1 СНТ Комарки, з/у кад. №71:14:020634:149</t>
  </si>
  <si>
    <t>Договор подряда № 461 от 14.11.2022, Геоземкадастр ООО, Договор подряда № 2 от 09.01.2024 МЕХКОЛОННА № 26 ООО</t>
  </si>
  <si>
    <t>Савичев Иван Николаевич, Договор техприсоединения №832-22 от 08.11.2022, ВЛИ-0,4 кВ КТП 1370 сеть 1 СНТ Весна, уч.41, кад.№71:30:070602:205</t>
  </si>
  <si>
    <t>Договор подряда № 158 от 02.05.2023, ООО ЭЛЕКТРОН</t>
  </si>
  <si>
    <t>Сушилина Татьяна Петровна, Договор техприсоединения №422-22 от 19.05.2022, ВЛИ-0,4кВ КТП 1478 сеть 3 СТ Эксперимент, зу 211, кад. № 71:30:090308:201</t>
  </si>
  <si>
    <t>Договор подряда № 404 от 26.09.2022, ООО "РСО-Энерго"</t>
  </si>
  <si>
    <t>Провоторова Ольга Николаевна, Договор техприсоединения №88-22 от 25.01.2022, ВЛИ-0,4кВ КТП 1478 сеть 4 СТ Эксперимент, зу 35, кад. № 71:30:090308:1</t>
  </si>
  <si>
    <t>Мартьянов Константин Евгеньевич, Договор техприсоединения №150-23 от 21.04.2023, ВЛИ-0,4кВ КТП1347 сеть4, Северная ч.,Зареченского р-а, кад. №71:30:010803:223</t>
  </si>
  <si>
    <t>Договор подряда № 333 от 21.08.2023, ООО "Компания Электромонтаж"</t>
  </si>
  <si>
    <t>Барсуков Михаил Вячеславович, Договор техприсоединения №472-22 от 03.06.2022, ВЛИ-0,4кВ ТП 134 сеть 1 ул. Мира , гаражи</t>
  </si>
  <si>
    <t>Договор подряда № 512 от 13.12.2022, ООО ЭЛЕКТРОН</t>
  </si>
  <si>
    <t>Булавинцева Наталия Сергеевна, Договор техприсоединения №256-23 от 20.06.2023, ВЛИ-0,4кВ КТП 756 сеть 3 ул. Нижняя Волоховская, 32-б</t>
  </si>
  <si>
    <t>Договор подряда № 388 от 04.10.2023, МЕХКОЛОННА № 26 ООО</t>
  </si>
  <si>
    <t>Швецова Елена Евгеньевна, Договор техприсоединения №640-21/3484 от 13.12.2021, ВЛИ-0,4кВ РП 56 с.1 ул. Приупская, д.12-г, СНТ Строитель</t>
  </si>
  <si>
    <t>Договор подряда № 332 от 08.08.2022, ООО "Компания Электромонтаж"</t>
  </si>
  <si>
    <t>Туламашзавод АК АО, Договор техприсоединения №77-23 от 03.03.2023, ВЛИ-0,4кВ от РП 83 сеть 1 ул. Хворостухина, д.11-а, кад.№71:30:030805:2127</t>
  </si>
  <si>
    <t xml:space="preserve">СИП 3х35+1х54,6 </t>
  </si>
  <si>
    <t>Договор подряда № 287 от 28.07.2023, МЕХКОЛОННА № 26 ООО</t>
  </si>
  <si>
    <t>Сергеева Елена Борисовна, Договор техприсоединения №118-22 от 31.01.2022, ВЛИ-0,4кВ КТП 1488 сеть 2 СТ Центрмаркшейдерия, УЧ.25, КАД. №71:30:080408:21</t>
  </si>
  <si>
    <t>Договор подряда № 471 от 24.11.2022, ООО "РСО-Энерго"</t>
  </si>
  <si>
    <t>Панкина Татьяна Сергеевна, Договор техприсоединения №532-23 от 30.10.2023, ВЛИ-0,4кВ ТП 253 сеть 4 ул.Мира, д.17-17б, ГСК №21</t>
  </si>
  <si>
    <t>СИП 3х35+1х54,6 - 135,4 м., СВ-110-5 - 1 шт.</t>
  </si>
  <si>
    <t>Договор подряда № 47 от 22.02.2024, МЕХКОЛОННА № 26 ООО</t>
  </si>
  <si>
    <t>Зайцев Игорь Владимирович, Договор техприсоединения №650-21/3455 от 14.12.2021, ВЛИ-0,4кВ КТП 1306 сеть 3 СТ УКС Горисполкома</t>
  </si>
  <si>
    <t xml:space="preserve">СИП 3х50+1х54,6  </t>
  </si>
  <si>
    <t>Договор подряда № 496 от 19.12.2023, МЕХКОЛОННА № 26 ООО</t>
  </si>
  <si>
    <t>Ушакова Олеся Александровна, Договор техприсоединения №256-22 от 14.03.2022, ВЛИ-0,4 кВ КТП 1479 сеть 2 СНТ Строитель</t>
  </si>
  <si>
    <t xml:space="preserve"> СИП 3х50+1х54,6 </t>
  </si>
  <si>
    <t>Договор подряда № 468 от 23.11.2022, ООО "Компания Электромонтаж"</t>
  </si>
  <si>
    <t>Порошкова Светлана Дмитриевна, Договор техприсоединения №673-22 от 28.07.2022, ВЛИ-0,4кВ КТП 1479 сеть 3 СНТ Строитель</t>
  </si>
  <si>
    <t>Сербетов Алексей Петрович, Договор техприсоединения №508-22 от 15.06.2022, ВЛИ-0,4кВ КТП 1351 сеть 6  СНТ Зеленая роща</t>
  </si>
  <si>
    <t>Договор подряда № 492 от 19.12.2023, МЕХКОЛОННА № 26 ООО</t>
  </si>
  <si>
    <t>Сагирова Лидия Николаевна, Договор техприсоединения №888-22 от 12.12.2022, ВЛЗ-6кВ от ВЛ-6кВ ТП831-ТП834 до КЛ-6кВ КТП 1520</t>
  </si>
  <si>
    <t>Договор подряда № 495 от 19.12.2023, МЕХКОЛОННА № 26 ООО</t>
  </si>
  <si>
    <t>ИП Гриньковский Валерий Валерьевич, Договор техприсоединения №176-23 от 10.05.2023, ВЛЗ-6кВ от лин. ответвл-я на на КТП972 от ВЛ-6кВ ПС370 "Тулица" ф.2 отп. на ТП540-КТП1518</t>
  </si>
  <si>
    <t>Договор подряда № 294 от 31.07.2023, МЕХКОЛОННА № 26 ООО</t>
  </si>
  <si>
    <t>Управляющая компания "Фермерский рынок" ООО, Договор техприсоединения №198-23 от 22.05.2023, ВЛЗ-6кВ от ВЛ-6кВ ПС 370 "Тулица" ТП 540 - КТП1519</t>
  </si>
  <si>
    <t>Договор подряда № 386 от 02.10.2023, МЕХКОЛОННА № 26 ООО</t>
  </si>
  <si>
    <t>Гео-Строй ООО, Договор техприсоединения №283-22 от 24.03.2022, ВЛЗ-10 кВ отпайка от ВЛ-10 кВ ТП 638-ТП 894 до границ з/у кад. №71:30:050416:1344 (на КТП 588)</t>
  </si>
  <si>
    <t>Договор подряда № 50 от 10.02.2023, Геоземкадастр ООО</t>
  </si>
  <si>
    <t>Горстин Сергей Петрович ИП, Договор техприсоединения №288-22 от 25.03.2022, ВЛИ-0,4кВ ТП 816 сеть 4  ул. Д.Гумилевской, д.18</t>
  </si>
  <si>
    <t>2 х СИП 3х35+1х54,6</t>
  </si>
  <si>
    <t>Договор подряда № 410 от 04.10.2022, ООО ЭЛЕКТРОН</t>
  </si>
  <si>
    <t>Кудинова Елена Юрьевна, Договор техприсоединения №432-22 от 23.05.2022, ВЛИ-0,4кВ КТП 1466 с.3 ул. Киреевская, уч. 169, СНТ Металлург-4</t>
  </si>
  <si>
    <t>Договор подряда № 86 от 09.03.2023, Геоземкадастр ООО, № 4 от 09.01.2024 г. с ООО "Мехколонна № 26"</t>
  </si>
  <si>
    <t>Мымриков Сергей Владимирович, Договор техприсоединения №206-22 от 28.02.2022, ВЛИ-0,4кВ КТП 1484 сеть 2 СНТ Комарки, з/у кад. №71:14:020634:175</t>
  </si>
  <si>
    <t>СИП 3х70+1х54,6</t>
  </si>
  <si>
    <t>Договор подряда № 461 от 14.11.2022, Геоземкадастр ООО</t>
  </si>
  <si>
    <t>Сагирова Лидия Николаевна, Договор техприсоединения №888-22 от 12.12.2022, ВЛИ-0,4кВ КТП 1520 сеть 1 Хомяковское ш.,14,СНТ"Сад 5"ТОЗ,уч.269,кад.№71:30:060620:253</t>
  </si>
  <si>
    <t>Фильчукова Татьяна Александровна, Договор техприсоединения №660-22 от 22.07.2022, ВЛИ-0,4кВ КТП 1339 сеть 3 СНТ ХОЭМЗ</t>
  </si>
  <si>
    <t>Договор подряда № 40 от 09.02.2024, МЕХКОЛОННА № 26 ООО</t>
  </si>
  <si>
    <t>Романова Татьяна Михайловна, Договор техприсоединения №111-23 от 27.03.2023, ВЛИ-0,4кВ КТП 1516 сеть 1 СНТ Стройматериалы</t>
  </si>
  <si>
    <t>Договор подряда № 290 от 31.07.2023, МЕХКОЛОННА № 26 ООО</t>
  </si>
  <si>
    <t>Переведенцева Анастасия Владимировна, Договор техприсоединения №97-23 от 16.03.2023, ВЛИ-0,4кВ КТП 1516 сеть 2 СНТ Стройматериалы</t>
  </si>
  <si>
    <t>Буров Ярослав Сергеевич ИП, Договор техприсоединения №580-21/3259 от 24.11.2021, КЛ-0,4 КТП 1283 - щит учета на зем. уч. Одоевское ш., кад. №71:30:020211:5247</t>
  </si>
  <si>
    <t>АВБбШв 4х70 - 260,7 м.</t>
  </si>
  <si>
    <t>Договор подряда № 491 от 19.12.2023, МЕХКОЛОННА № 26 ООО</t>
  </si>
  <si>
    <t>Сербетов Алексей Петрович, Договор техприсоединения №508-22 от 15.06.2022, КЛ-0,4кВ РЩ-1 - РЩ-2  КТП 1351 сеть 6 СНТ Зеленая роща</t>
  </si>
  <si>
    <t>АВБШв 4х95 - 75 м.</t>
  </si>
  <si>
    <t>Сербетов Алексей Петрович, Договор техприсоединения №508-22 от 15.06.2022, КЛ-0,4кВ РЩ-1 - ПР-11  КТП 1351 сеть 6 СНТ Зеленая роща</t>
  </si>
  <si>
    <t>АВБШв 4х95 - 51,4 м.</t>
  </si>
  <si>
    <t>Государственное учреждение Тульской области "Тульский областной центр реабилитации инвалидов", Договор техприсоединения №2023.117927/570-23 от 15.11.2023, КЛ-0,4кВ ТП 529 - ВРУ неж. зд. ул.Пузакова, д.36</t>
  </si>
  <si>
    <t>АВБбШв 4х150 - 139,2 м.</t>
  </si>
  <si>
    <t>Договор подряда № 97 от 15.04.2024, МЕХКОЛОННА № 26 ООО</t>
  </si>
  <si>
    <t>Филимонова Инна Валерьевна ИП, Договор техприсоединения №131-23 от 10.04.2023, КЛ-0,4кВ ТП 274 - щит учета на зем. уч. ул. Карпова, уч. 92В, кад.№71:30:010503:2839</t>
  </si>
  <si>
    <t>АВБШв 4х150 - 204 м.</t>
  </si>
  <si>
    <t>Договор подряда № 436 от 17.11.2023, МЕХКОЛОННА № 26 ООО</t>
  </si>
  <si>
    <t>Зайцев Игорь Владимирович, Договор техприсоединения №650-21/3455 от 14.12.2021, КЛ-0,4кВ каб.1 КТП 1306 - ВЛИ-0,4кВ КТП 1306 сеть 3 СТ УКС Горисполкома</t>
  </si>
  <si>
    <t>АВБШв 4х120 - 324,7 м.</t>
  </si>
  <si>
    <t>Зайцев Игорь Владимирович, Договор техприсоединения №650-21/3455 от 14.12.2021, КЛ-0,4кВ каб.2 КТП 1306 - ВЛИ-0,4кВ КТП 1306 сеть 3 СТ УКС Горисполкома</t>
  </si>
  <si>
    <t>ООО РПК Серый кардинал, Договор техприсоединения №590-23 от 28.11.2023, КЛ-0,4кВ КТП 1283 - щит учета на зем.уч.Одоевское ш., кад №71:30:020211:5248</t>
  </si>
  <si>
    <t>АВБбШв 4х120 - 260,7 м.</t>
  </si>
  <si>
    <t>Договор подряда № 94 от 10.04.2024, МЕХКОЛОННА № 26 ООО</t>
  </si>
  <si>
    <t>ООО "Логос", Договор техприсоединения №325-23 от 19.07.2023, КЛ-0,4кВ ТП 203 - щит учета на зем.уч. ул. К. Маркса/пер. Пролетарский, кад. №71:30:030103:1857</t>
  </si>
  <si>
    <t>АВБбШв 4х120 - 289 м.</t>
  </si>
  <si>
    <t>Договор подряда № 443 от 24.11.2023, МЕХКОЛОННА № 26 ООО</t>
  </si>
  <si>
    <t>Автомастер-Сервис ООО, Договор техприсоединения №303-22 от 31.03.2022, КЛ-0,4кВ ТП 68 -щит учетана з/у ул. Ликбеза, д.39</t>
  </si>
  <si>
    <t>АВБбШв 4х150 - 215,2 м.</t>
  </si>
  <si>
    <t>Договор подряда № 403 от 26.09.2022, ООО "Компания Электромонтаж"</t>
  </si>
  <si>
    <t>Шаевич Ольга Александровна, Договор техприсоединения №582-22 от 01.07.2022, КЛ-0,4 кВ ТП 962 - щит учета на зем. уч. ул.9 Мая, кад.№71:30:020401:11803</t>
  </si>
  <si>
    <t>АВБбШв 4х185 - 277,8 м.</t>
  </si>
  <si>
    <t>Договор подряда № 6 от 09.01.2024, МЕХКОЛОННА № 26 ООО</t>
  </si>
  <si>
    <t>АС-Энерго СЗ ООО, Договор техприсоединения №896-22 от 14.12.2022, КЛ-0,4кВ №1 ТП 358- ул. Гоголевская/ул. Свободы, д.57/33</t>
  </si>
  <si>
    <t>АВБШв 4х120 - 83,7 м.</t>
  </si>
  <si>
    <t>Договор подряда № 442 от 24.11.2023, ООО "РСО-Энерго"</t>
  </si>
  <si>
    <t>АС-Энерго СЗ ООО, Договор техприсоединения №896-22 от 14.12.2022, КЛ-0,4кВ №2 ТП 358- ул. Гоголевская/ул. Свободы, д.57/33</t>
  </si>
  <si>
    <t>Неустроев Олег Валентинович, Договор техприсоединения №596-22 от 05.07.2022, КЛ-0,4 кВ КТП 1455-ЩУ ул.5-я Криволученская, з/у кад. №71:30:030303:663</t>
  </si>
  <si>
    <t>АВБШв 4х150 - 198,3 м.</t>
  </si>
  <si>
    <t>Договор подряда № 513 от 13.12.2022, ООО ЭЛЕКТРОН</t>
  </si>
  <si>
    <t>КАТЮША-Т ООО, Договор техприсоединения №55-23 от 14.02.2023, КЛ-0,4кВ ТП 203-щит учета на зем уч. ул. Епифанская, кад. №71:30:030103:1907</t>
  </si>
  <si>
    <t>АВБбШв 4х150 - 111,6 м.</t>
  </si>
  <si>
    <t>Договор подряда № 200 от 23.05.2023, МЕХКОЛОННА № 26 ООО</t>
  </si>
  <si>
    <t>АС-Энерго СЗ ООО, Договор техприсоединения №896-22 от 14.12.2022, КЛ-0,4кВ ТП 130 - ВРУ ж.д ул. Гоголевская/ул. Свободы, д.57/33</t>
  </si>
  <si>
    <t>АВБШв 4х240 - 350,6 м.</t>
  </si>
  <si>
    <t>Алексиевич Сергей Михайлович ИП, Договор техприсоединения №833-22 от 09.11.2022, КЛ-0,4кВ ТП 801- щит учета Театральный переулок, д.1, кад.№71:30:030501:298</t>
  </si>
  <si>
    <t>АВБШв 4х240 - 319,5 м.</t>
  </si>
  <si>
    <t>Договор подряда № 159 от 02.05.2023, ООО ЭЛЕКТРОН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</si>
  <si>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l=1, m=3, n=2 (100-200 мм2) </t>
    </r>
  </si>
  <si>
    <t>Совдел-Строй ООО, Договор техприсоединения №516-23 от 17.10.2023, КЛ-0,4кВ 1 с.ш. (каб.1,2) ТП 137 - ВРУ (ввод 1) МКД пер. Шевченко, уч.5</t>
  </si>
  <si>
    <t>АВБбШв 4х185 - 347,6 м.</t>
  </si>
  <si>
    <t>Договор подряда № 42 от 09.02.2024, МЕХКОЛОННА № 26 ООО</t>
  </si>
  <si>
    <t>Совдел-Строй ООО, Договор техприсоединения №516-23 от 17.10.2023, КЛ-0,4кВ 2 с.ш. (каб.1,2) ТП 137 - ВРУ (ввод 2) МКД пер. Шевченко, уч.5</t>
  </si>
  <si>
    <t>АВБбШв 4х185 - 351,6 м.</t>
  </si>
  <si>
    <r>
      <t xml:space="preserve">j=1,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n=2 (200-250 мм2)</t>
    </r>
  </si>
  <si>
    <t>УСС ГУ ТО, Договор техприсоединения №333-23 от 20.07.2023, КЛ-0,4кВ каб.1,2 РП ГПТУ -щит учета №1,2 на зем. уч.ул. Маяковского, д.49, кад.№71:30:080413:8</t>
  </si>
  <si>
    <t>АВБбШв 4х240 - 324 м.</t>
  </si>
  <si>
    <t>Договор подряда № 441 от 24.11.2023, МЕХКОЛОННА № 26 ООО</t>
  </si>
  <si>
    <t>Тульская областная клиническая больница ГУЗ ТО, Договор техприсоединения №617-23 от 06.12.2023, КЛ-0,4 кВ 1, 2 с.ш. РП 48 - ВРУ здания ул.Ф.Энгельса, д.58</t>
  </si>
  <si>
    <t>АВБбШв 4х240 - 163,3 м.</t>
  </si>
  <si>
    <t>Договор подряда № 87 от 05.04.2024, МЕХКОЛОННА № 26 ООО</t>
  </si>
  <si>
    <t>ООО "СЗ Развитие", Договор техприсоединения №247-23 от 15.06.2023, КЛ-0,4кВ 1, 2 с.ш. ТП 1373 - ВРУ МКД Новомедвенский пр-д, д.6, кад. №71:30:030812:2972</t>
  </si>
  <si>
    <t>АВБбШв 4х240 - 349,2 м.</t>
  </si>
  <si>
    <t>Договор подряда № 434 от 10.11.2023, МЕХКОЛОННА № 26 ООО</t>
  </si>
  <si>
    <t>Байкал майкрофонс ООО, Договор техприсоединения №588-21/3275 от 26.11.2021, КЛ-6кВ ТП 99 -ул. Щекинская, з/у кад.№71:30:020503:308</t>
  </si>
  <si>
    <t>АСБл 3х70 - 265,7 м.</t>
  </si>
  <si>
    <t>Договор подряда № 188 от 18.05.2022, ООО "Компания Электромонтаж"</t>
  </si>
  <si>
    <t xml:space="preserve">Сагирова Лидия Николаевна, Договор техприсоединения №888-22 от 12.12.2022,  КЛ-6кВ КТП 1520-ВЛЗ-6кВ от ВЛ-6кВ ТП831-ТП834 </t>
  </si>
  <si>
    <t>АСБл 3х70 - 391 м.</t>
  </si>
  <si>
    <t>Удача ООО, Договор техприсоединения №581-23 от 22.11.2023, КЛ-6 КТП 1526 - КТП 1332 до врезки</t>
  </si>
  <si>
    <t>АСБл 3х120 - 88 м.</t>
  </si>
  <si>
    <t>Договор подряда № 95 от 10.04.2024, МЕХКОЛОННА № 26 ООО</t>
  </si>
  <si>
    <t>Удача ООО, Договор техприсоединения №581-23 от 22.11.2023, КЛ-6 КТП 1526 - ТП 823 до врезки</t>
  </si>
  <si>
    <t>Туланефтепродукт ПАО, Договор техприсоединения №456-23 от 19.09.2023, КЛ-6кВ КТП 1530 - РП 70 до врезки</t>
  </si>
  <si>
    <t>АСБл 3х150 - 44,7 м.</t>
  </si>
  <si>
    <t>Договор подряда № 482 от 15.12.2023, МЕХКОЛОННА № 26 ООО</t>
  </si>
  <si>
    <t>Туланефтепродукт ПАО, Договор техприсоединения №456-23 от 19.09.2023, КЛ-6кВ КТП 1530 - ТП 551 до врезки</t>
  </si>
  <si>
    <t>Авиатор СЗ ООО, Договор техприсоединения №756-22 от 19.09.2022, КЛ-10кВ каб.1 ТП 1498-ТП 1499</t>
  </si>
  <si>
    <t>АСБл 3х150 - 243,8 м.</t>
  </si>
  <si>
    <t>Договор подряда № 532 от 21.12.2022, ООО "Компания ЯрЭнергоРемонт"</t>
  </si>
  <si>
    <t>Авиатор СЗ ООО, Договор техприсоединения №756-22 от 19.09.2022, КЛ-10кВ каб.2 ТП 1498-ТП 1499</t>
  </si>
  <si>
    <t>АСБл 3х150 - 247,8 м.</t>
  </si>
  <si>
    <t>Ахманов Константин Романович, Договор техприсоединения №484-22 от 08.06.2022, КЛ-6кВ КТП 1492 - КТП 1048 до врезки</t>
  </si>
  <si>
    <t>АСБл 3х240 - 11 м.</t>
  </si>
  <si>
    <t>Договор подряда № 509 от 12.12.2022, ООО "Компания Электромонтаж"</t>
  </si>
  <si>
    <t>Ахманов Константин Романович, Договор техприсоединения №484-22 от 08.06.2022, КЛ-6кВ КТП 1492 - РП 65 до врезки</t>
  </si>
  <si>
    <t>Управление по благоустройству администрации города Тулы, Договор техприсоединения №318-23 от 17.07.2023, КЛ-6 ТП 1531 - РП 81 до врезки</t>
  </si>
  <si>
    <t>АСБл 3х240 - 72,5 м.</t>
  </si>
  <si>
    <t>Договор подряда № 266 от 14.08.2024, ООО "РСО-Энерго"</t>
  </si>
  <si>
    <t>Управление по благоустройству администрации города Тулы, Договор техприсоединения №318-23 от 17.07.2023, КЛ-6 ТП 1531 - ТП 1457 до врезки</t>
  </si>
  <si>
    <t>Романова Татьяна Михайловна, Договор техприсоединения №111-23 от 27.03.2023, КЛ-6кВ КТП 1516 - ТП 1383 до врезки</t>
  </si>
  <si>
    <t>АСБл 3х120 - 410 м.</t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</si>
  <si>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m=3, n=1 (100-200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</si>
  <si>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n=1 (200-250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</si>
  <si>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m=2, n=2 (50-100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</si>
  <si>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l=1, m=4, n=2 (200-250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</si>
  <si>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m=3, n=1 (100-200 мм2)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</si>
  <si>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>, l=2, m=4, n=1 (200-250 мм2)</t>
    </r>
  </si>
  <si>
    <r>
      <t>2.6.</t>
    </r>
    <r>
      <rPr>
        <b/>
        <sz val="12"/>
        <color rgb="FFFF0000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.2.4.2</t>
    </r>
  </si>
  <si>
    <r>
      <t xml:space="preserve">j=6, </t>
    </r>
    <r>
      <rPr>
        <b/>
        <sz val="12"/>
        <color rgb="FFFF0000"/>
        <rFont val="Times New Roman"/>
        <family val="1"/>
        <charset val="204"/>
      </rPr>
      <t>k=1</t>
    </r>
    <r>
      <rPr>
        <b/>
        <sz val="12"/>
        <rFont val="Times New Roman"/>
        <family val="1"/>
        <charset val="204"/>
      </rPr>
      <t xml:space="preserve">, l=2, m=4, n=2 (200-250 мм2) </t>
    </r>
  </si>
  <si>
    <t>Тульское объединение ветеринарии ГУ ТО, Договор техприсоединения №198-22 от 24.02.2022, КТП 1490</t>
  </si>
  <si>
    <t>подстанция трансформаторная комплектная  КТПк-160/10/0,4 зав.№ 02-104 - 1 шт.</t>
  </si>
  <si>
    <t>Договор подряда № 405 от 27.09.2022, ООО "Компания Электромонтаж"</t>
  </si>
  <si>
    <t>Удача ООО, Договор техприсоединения №581-23 от 22.11.2023, КТП 1526</t>
  </si>
  <si>
    <t>Комплектная трансформаторная подстанция  КТП-250/6/0,4 УХЛ1; зав.№ 000359/24-0001 - 1 шт.</t>
  </si>
  <si>
    <t>Романова Татьяна Михайловна, Договор техприсоединения №111-23 от 27.03.2023, КТП 1516</t>
  </si>
  <si>
    <t>Комплектная трансформаторная подстанция  КТП ПК/К 400-6/0,4  зав.№ 240803 - 1 компл.</t>
  </si>
  <si>
    <t>Туланефтепродукт ПАО, Договор техприсоединения №456-23 от 19.09.2023, КТП 1530</t>
  </si>
  <si>
    <t>Комплектная трансформаторная подстанция  КТП КТПК-400-6/0,4 зав.№ 3105 - 1 компл.</t>
  </si>
  <si>
    <t>Сагирова Лидия Николаевна, Договор техприсоединения №888-22 от 12.12.2022, КТП 1520</t>
  </si>
  <si>
    <t>подстанция трансформаторная комплектная  КТП-400/6/0,4 зав.№ 000289/24-0003 - 1 шт.</t>
  </si>
  <si>
    <t>ИП Гриньковский Валерий Валерьевич, Договор техприсоединения №176-23 от 10.05.2023, КТП 1518</t>
  </si>
  <si>
    <t>Комплектная трансформаторная подстанция  КТП-Т-250/6/0,4 УХЛ1; зав.№ 2401087 - 1 шт.</t>
  </si>
  <si>
    <t>Ахманов Константин Романович, Договор техприсоединения №484-22 от 08.06.2022, КТП 1492</t>
  </si>
  <si>
    <t>Комплектная трансформаторная подстанция  КТП-Т-250/6/0,4; зав.№ 02-103 - 1 шт.</t>
  </si>
  <si>
    <t>Управляющая компания "Фермерский рынок" ООО, Договор техприсоединения №198-23 от 22.05.2023, КТП 1519</t>
  </si>
  <si>
    <t>Комплектная трансформаторная подстанция  КТП-Т-в/в-250/6/0,4 УХЛ1; зав.№ 2403299 - 1 шт.</t>
  </si>
  <si>
    <t>Управление по благоустройству администрации города Тулы, Договор техприсоединения №318-23 от 17.07.2023, ТП 1531</t>
  </si>
  <si>
    <t>Комплектная трансформаторная подстанция  2КТП-П-КК 630-6/0,4 УХЛ1 зав.№ 077-245 - 1 компл.</t>
  </si>
  <si>
    <t>Авиатор СЗ ООО, Договор техприсоединения №756-22 от 19.09.2022, ТП 1498</t>
  </si>
  <si>
    <t>Комплектная трансформаторная подстанция  2КТПК-П-1000/10/0,4 КК; зав.№ 077-245 - 1 шт.</t>
  </si>
  <si>
    <t>Договор подряда № 532 от 21.12.2022, ООО "Компания ЯрЭнергоРемонт"; № 270 от 16.08.2024, ООО "РСО Энерго"</t>
  </si>
  <si>
    <t>Авиатор СЗ ООО, Договор техприсоединения №756-22 от 19.09.2022, ТП 1499</t>
  </si>
  <si>
    <t>Комплектная трансформаторная подстанция  2КТПК-П-1000/10/0,4 КК; зав.№ 077-246 - 1 шт.</t>
  </si>
  <si>
    <t>Ландаева Галина Григорьевна, Договор техприсоединения №462-22 от 31.05.2022, Щит учета на ВЛИ-0,4кВ РП 4 сеть 1, ул. Мосина, д.31, ГСК №19, гараж. №23</t>
  </si>
  <si>
    <t>Прибор учета 1-фазный Меркурий 234 ARTMХ2-02 зав.№ 48313542 - 1 шт.</t>
  </si>
  <si>
    <t>Договор подряда № 528 от 20.12.2022, Геоземкадастр ООО</t>
  </si>
  <si>
    <t>Брыков Евгений Николаевич, Договор техприсоединения №204-22 от 25.02.2022, Щит учета ВЛИ-0,4кВ КТП 1484 сеть 3,СНТ Комарки, уч.128, кад. №71:14:020634:134</t>
  </si>
  <si>
    <t>Прибор учета 1-фазный СЭБ-1ТМ.04.Т.01.00.12 зав.№ 1903230011 - 1 шт.</t>
  </si>
  <si>
    <t>Каменева Мария Ивановна, Договор техприсоединения №333-22 от 13.04.2022, Щит учета ВЛИ-0,4кВ КТП 1484 сеть 3,СНТ Комарки, уч.71, кад. №71:14:020634:79</t>
  </si>
  <si>
    <t>Прибор учета 1-фазный СЭБ-1ТМ.04.Т.01.00.12 зав.№ 1903230006 - 1 шт.</t>
  </si>
  <si>
    <t>Корельцев Валерий Владимирович, Договор техприсоединения №216-22 от 01.03.2022, Щит учета ВЛИ-0,4кВ КТП 1484 сеть 3,СНТ Комарки, уч.74, кад. №71:14:020634:82</t>
  </si>
  <si>
    <t>Прибор учета 1-фазный ПСЧ-4ТМ.05МК.22.12 зав.№ 1117231067 - 1 шт.</t>
  </si>
  <si>
    <t>Русакова Ольга Владимировна, Договор техприсоединения №446-22 от 26.05.2022, Щит учета ВЛИ-0,4кВ КТП 1484 сеть 3,СНТ Комарки, уч.80, кад. №71:14:020634:88</t>
  </si>
  <si>
    <t>Прибор учета 1-фазный СЭБ-1ТМ.04.Т.01.00.12 зав.№ 1903230009 - 1 шт.</t>
  </si>
  <si>
    <t>Давидович Александр Владимирович, Договор техприсоединения №208-22 от 28.02.2022, Щит учета на ВЛИ-0,4кВ КТП 1484 сеть 1 СНТ Комарки, з/у кад. №71:14:020634:149</t>
  </si>
  <si>
    <t>Прибор учета 1-фазный Меркурий 234 ARTMХ2-02 зав.№ 48343508 - 1 шт.</t>
  </si>
  <si>
    <t>Сидоров Анатолий Васильевич, Договор техприсоединения №307-23 от 11.07.2023, Щит учета на ВЛ-0,4кВ ТП 197 сеть 2, ул.Парижской Коммуны,д.50 (часть ж.д.)кад.№71:30:010402:694</t>
  </si>
  <si>
    <t>Прибор учета 1-фазный Меркурий 204 ARTMХ2-02 зав.№ 49561782 - 1 шт.</t>
  </si>
  <si>
    <t>Договор подряда № 439 от 24.11.2023, МЕХКОЛОННА № 26 ООО</t>
  </si>
  <si>
    <t>Мороз Анна Владимировна, Договор техприсоединения №435-23 от 08.09.2023, Щит учета на ВЛИ-0,4 кВ РП 4 с.1 ул.Мосина, д.31 ГСК №19, гараж 3</t>
  </si>
  <si>
    <t>Прибор учета 1-фазный Меркурий 204 ARTMХ2-02 зав.№ 49428484 - 1 шт.</t>
  </si>
  <si>
    <t>Договор подряда № 481 от 15.12.2023, МЕХКОЛОННА № 26 ООО</t>
  </si>
  <si>
    <t>Чарский Владимир Евгеньевич, Договор техприсоединения №305-23 от 10.07.2023, Щит учета на ВЛИ-0,4кВ КТП 1466 сеть 1, п. Горняк, СТ Сад2 УВД, кад.№71:30:080406:44</t>
  </si>
  <si>
    <t>Прибор учета 1-фазный Меркурий 204 ARTMХ2-02 зав.№ 49428513 - 1 шт.</t>
  </si>
  <si>
    <t>Чеснов Дмитрий Николаевич, Договор техприсоединения №356-23 от 02.08.2023, Щит учета на ВЛИ-0,4кВ КТП 1466 сеть 3, ул.Киреевская, СНТ Металлург-4, уч.109,кад.№71:30:080208:302</t>
  </si>
  <si>
    <t>Прибор учета 1-фазный Меркурий 204 ARTMХ2-02 зав.№ 48329144 - 1 шт.</t>
  </si>
  <si>
    <t>Лаврентьева Лидия Николаевна, Договор техприсоединения №489-23 от 02.10.2023, Щит учета на ВЛИ-0,4 кВ КТП 1466  с.1 - п.Горняк, СТ Сад 2 УВД, кад. №71:30:080406:39</t>
  </si>
  <si>
    <t>Прибор учета 1-фазный Меркурий 204 ARTMХ2-02 зав.№ 49428465 - 1 шт.</t>
  </si>
  <si>
    <t>Завлунова Валентина Владимировна, Договор техприсоединения №213-22 от 01.03.2022, Щит учета на ВЛИ-0,4кВ КТП 1478 СТ Эксперимент, уч.181</t>
  </si>
  <si>
    <t>Прибор учета 1-фазный СЭБ-1ТМ.04Т.01.00.12 зав.№ 1903230007 - 1 шт.</t>
  </si>
  <si>
    <t>Договор подряда № 406 от 27.09.2022, ООО "РСО-Энерго"</t>
  </si>
  <si>
    <t>Алешина Светлана Анатольевна, Договор техприсоединения №150-22 от 08.02.2022, Щит учета на ВЛИ-0,4кВ КТП 1478 СТ Эксперимент, уч.186</t>
  </si>
  <si>
    <t>Прибор учета 1-фазный СЭБ-1ТМ.04Т.01.00.12 зав.№ 1903230010 - 1 шт.</t>
  </si>
  <si>
    <t>Гончаров Николай Владимирович, Договор техприсоединения №172-22 от 15.02.2022, Щит учета на ВЛИ-0,4кВ КТП 1478 СТ Эксперимент, уч.196</t>
  </si>
  <si>
    <t>Прибор учета 1-фазный СЭБ-1ТМ.04Т.01.00.12 зав.№ 1903230013 - 1 шт.</t>
  </si>
  <si>
    <t>Кондратенко Наталья Александровна, Договор техприсоединения №38-22 от 20.01.2022, Щит учета на ВЛИ-0,4кВ КТП 1478 СТ Эксперимент, уч. 40</t>
  </si>
  <si>
    <t>Прибор учета 1-фазный СЭБ-1ТМ.04Т.01.00.12 зав.№ 1903230004 - 1 шт.</t>
  </si>
  <si>
    <t>Сенина Валентина Михайловна, Договор техприсоединения №170-22 от 15.02.2022, Щит учета на ВЛИ-0,4кВ КТП 1478 СТ Эксперимент, уч.48</t>
  </si>
  <si>
    <t>Прибор учета 1-фазный СЭБ-1ТМ.04Т.01.00.12 зав.№ 1903230012 - 1 шт.</t>
  </si>
  <si>
    <t>Татаринцева Надежда Ивановна, Договор техприсоединения №374-23 от 08.08.2023, Щит учета на ВЛ-0,4кВ ТП 282 с.2 п. Октябрьский, ул. Судейского, д.51</t>
  </si>
  <si>
    <t>Прибор учета 1-фазный Меркурий 204 ARTMХ2-02 зав.№ 49561776 - 1 шт.</t>
  </si>
  <si>
    <t>Барсуков Михаил Вячеславович, Договор техприсоединения №472-22 от 03.06.2022, Щит учета на ВЛИ-0,4кВ ТП 134 сеть 1 ул. Мира 33, гараж №24</t>
  </si>
  <si>
    <t>Прибор учета 1-фазный Меркурий 204 ARTMХ2-02 зав.№ 49456086 - 1 шт.</t>
  </si>
  <si>
    <t>Пеньков Андрей Олегович, Договор техприсоединения №349-23 от 28.07.2023, Щит учета на ВЛИ-0,4кВ КТП 1377 сеть 4, ул. Киреевская, 4,СНТ 4 УВД, уч.26, кад.№71:30:080401:58</t>
  </si>
  <si>
    <t>Прибор учета 1-фазный Меркурий 204 ARTMХ2-02 зав.№ 49561784 - 1 шт.</t>
  </si>
  <si>
    <t>Зементова Татьяна Вульфовна, Договор техприсоединения №384-23 от 11.08.2023, Щит учета на ВЛИ-0,4кВ КТП 1466 с.1-п. Горняк,СТ Сад 2 УВД, кад.71:30:080406:37</t>
  </si>
  <si>
    <t>Прибор учета 1-фазный Меркурий 204 ARTMХ2-02 зав.№ 49428497 - 1 шт.</t>
  </si>
  <si>
    <t>Титов Михаил Владимирович, Договор техприсоединения №385-23 от 11.08.2023, Щит учета на ВЛИ-0,4кВ КТП 1466 с.1-п. Горняк,СТ Сад 2 УВД,уч.32 кад.71:30:080406:43</t>
  </si>
  <si>
    <t>Прибор учета 1-фазный Меркурий 204 ARTMХ2-02 зав.№ 49428492 - 1 шт.</t>
  </si>
  <si>
    <t>Гривенко Ольга Венальевна, Договор техприсоединения №133-23 от 11.04.2023, Щит учета на ВЛИ-0,4кВ КТП 1466 сеть 1 СТ №1 ТЗ РТИ, уч.9, кад №71:30:080406:17</t>
  </si>
  <si>
    <t>Прибор учета 1-фазный Меркурий 204 ARTMХ2-02 зав.№ 48329157 - 1 шт.</t>
  </si>
  <si>
    <t>Договор подряда № 324 от 18.08.2023, ООО ЭЛЕКТРОН</t>
  </si>
  <si>
    <t>Панферов Валерий Викторович, Договор техприсоединения №887-22 от 12.12.2022, Щит учета на ВЛИ-0,4кВ ТП 313, ул. Первомайская, д.14-б, гараж с кад. №71:30:040119:10351</t>
  </si>
  <si>
    <t>Прибор учета 1-фазный Меркурий 204 ARTMХ2-02 зав.№ 49401605 - 1 шт.</t>
  </si>
  <si>
    <t>Договор подряда № 191 от 22.05.2023, МЕХКОЛОННА № 26 ООО</t>
  </si>
  <si>
    <t>Кузнецов Владимир Алексеевич, Договор техприсоединения №89-23 от 13.03.2023, Щит учета на ВЛИ-0,4 кВ ТП 681 сеть 3 Иншинский проезд, ГСК №38, гараж №3</t>
  </si>
  <si>
    <t>Прибор учета 1-фазный СЕ 207 R7.849.2.OG зав.№ 013000192372842 - 1 шт.</t>
  </si>
  <si>
    <t>Козлов Александр Игоревич, Договор техприсоединения №202-23 от 25.05.2023, Щит учета на ВЛИ-0,4 кВ ТП 681 сеть 3 Иншинский проезд, ГСК №38, гараж №5</t>
  </si>
  <si>
    <t>Прибор учета 1-фазный СЕ 208 S7.849.OG зав.№ 012719189713146 - 1 шт.</t>
  </si>
  <si>
    <t>Фокин Александр Анатольевич, Договор техприсоединения №191-23 от 17.05.2023, Щит учета на ВЛИ-0,4 кВ ТП 681 сеть 3 Иншинский проезд, ГСК №38, гараж №15</t>
  </si>
  <si>
    <t>Прибор учета 1-фазный СЕ 208 S7.849.2.OG зав.№ 012719189713092 - 1 шт.</t>
  </si>
  <si>
    <t>Лифанов Александр Иванович, Договор техприсоединения №359-22 от 22.04.2022, Щит учета на ВЛИ-0,4кВ КТП 1488 сеть 2 СТ Центрмаркшейдерия, уч.89</t>
  </si>
  <si>
    <t>Прибор учета 1-фазный Меркурий 204 зав.№ 49401607 - 1 шт.</t>
  </si>
  <si>
    <t>Бородинова Дарья Александровна, Договор техприсоединения №185-22 от 18.02.2022, Щит учета на ВЛИ-0,4кВ КТП 1488 сеть 2 СТ Центрмаркшейдерия, уч.54 кад. №71:30:080408:6</t>
  </si>
  <si>
    <t>Прибор учета 1-фазный Меркурий 204 зав.№ 49401596 - 1 шт.</t>
  </si>
  <si>
    <t>Сергеева Елена Борисовна, Договор техприсоединения №118-22 от 31.01.2022, Щит учета на ВЛИ-0,4кВ КТП 1488 сеть 2 СТ Центрмаркшейдерия, УЧ.25, КАД. №71:30:080408:21</t>
  </si>
  <si>
    <t>Прибор учета 1-фазный Меркурий 204 зав.№ 49405488 - 1 шт.</t>
  </si>
  <si>
    <t>Лукьянов Алексей Борисович, Договор техприсоединения №32-24 от 29.01.2024, Щит учета на ВЛИ-0,4кВ ТП 187 ул. Ствольная, д.21-В, кад.№71:30:010201:3288</t>
  </si>
  <si>
    <t>Прибор учета 1-фазный Меркурий 204 ARTMХ2-02 зав.№ 49666969 - 1 шт.</t>
  </si>
  <si>
    <t>Договор подряда № 133 от 08.05.2024, МЕХКОЛОННА № 26 ООО</t>
  </si>
  <si>
    <t>Горбачева Елена Николаевна, Договор техприсоединения №393-23 от 15.08.2023, Щит учета на ВЛ-0,4кВ ТП 611 с.3 пос.1-й Западный, ул.Д.Бедного, д.20-а, кад. №71:30:090201:1386</t>
  </si>
  <si>
    <t>Прибор учета 1-фазный Меркурий 204 ARTMХ2-02 зав.№ 49416729 - 1 шт.</t>
  </si>
  <si>
    <t>Договор подряда № 480 от 15.12.2023, МЕХКОЛОННА № 26 ООО</t>
  </si>
  <si>
    <t>Бушуев Николай Петрович, Договор техприсоединения №453-22 от 27.05.2022, Щит учета на ВЛИ-0,4кВ КТП 1479 сеть 2 СНТ Строитель, уч. 35, кад. №71:30:060604:53</t>
  </si>
  <si>
    <t>Прибор учета 1-фазный СЭБ-1ТМ.04Т.00.0002 зав.№ 1911230046 - 1 шт.</t>
  </si>
  <si>
    <t>Леонова Любовь Евгеньевна, Договор техприсоединения №537-22 от 21.06.2022, Щит учета на ВЛИ-0,4кВ КТП 1479 сеть 2 СНТ Строитель, д.62, кад. №71:30:060604:37</t>
  </si>
  <si>
    <t>Прибор учета 1-фазный СЭБ-1ТМ.04Т.00.0002 зав.№ 1911230042 - 1 шт.</t>
  </si>
  <si>
    <t>Булычев Николай Васильевич, Договор техприсоединения №124-22 от 01.02.2022, Щит учета на ВЛИ-0,4кВ КТП 1479 сеть 2 СНТ Строитель, кад. №71:30:060604:140</t>
  </si>
  <si>
    <t>Прибор учета 1-фазный СЭБ-1ТМ.04Т.00.0002 зав.№ 1911230040 - 1 шт.</t>
  </si>
  <si>
    <t>Васильев Михаил Владимирович, Договор техприсоединения №456-22 от 30.05.2022, Щит учета на ВЛИ-0,4кВ КТП 1479 сеть 2 СНТ Строитель, уч.60, кад. №71:30:060604:106</t>
  </si>
  <si>
    <t>Прибор учета 1-фазный СЭБ-1ТМ.04Т.00.0002 зав.№ 1911230044 - 1 шт.</t>
  </si>
  <si>
    <t>Князева Вера Юрьевна, Договор техприсоединения №211-22 от 28.02.2022, Щит учета на ВЛИ-0,4кВ КТП 1479 сеть 3 СНТ Строитель, уч.89, кад. №71:30:060604:16</t>
  </si>
  <si>
    <t>Прибор учета 1-фазный СЭБ-1ТМ.04Т.00.0002 зав.№ 1911230038 - 1 шт.</t>
  </si>
  <si>
    <t>Лысаков Владислав Васильевич, Договор техприсоединения №205-22 от 28.02.2022, Щит учета на ВЛИ-0,4кВ КТП 1479 сеть 3 СНТ Строитель, уч.109, кад. №71:30:060604:159</t>
  </si>
  <si>
    <t>Прибор учета 1-фазный СЭБ-1ТМ.04Т.00.0002 зав.№ 1911230045 - 1 шт.</t>
  </si>
  <si>
    <t>Панов Александр Михайлович, Договор техприсоединения №373-22 от 28.04.2022, Щит учета на ВЛИ-0,4кВ КТП 1479 сеть 3 СНТ Строитель, уч.36, кад. №71:30:060604:161</t>
  </si>
  <si>
    <t>Прибор учета 1-фазный СЭБ-1ТМ.04Т.00.0002 зав.№ 1911230039 - 1 шт.</t>
  </si>
  <si>
    <t>Гапеенко Николай Иванович, Договор техприсоединения №528-22 от 20.06.2022, Щит учета на ВЛИ-0,4кВ КТП 1479 сеть 3 СНТ Строитель, уч.98, кад. №71:30:060604:151</t>
  </si>
  <si>
    <t>Прибор учета 1-фазный СЭБ-1ТМ.04Т.00.0002 зав.№ 1911230037 - 1 шт.</t>
  </si>
  <si>
    <t>Жуков Сергей Викторович, Договор техприсоединения №505-22 от 15.06.2022, Щит учета на ВЛИ-0,4кВ КТП 1479 сеть 3 СНТ Строитель, уч.64,кад. №71:30:060604:3</t>
  </si>
  <si>
    <t>Прибор учета 1-фазный СЭБ-1ТМ.04Т.00.0002 зав.№ 1911230041 - 1 шт.</t>
  </si>
  <si>
    <t>Рянцев Андрей Владимирович, Договор техприсоединения №368-22 от 27.04.2022, Щит учета на ВЛИ-0,4кВ КТП 1479 сеть 3 СНТ Строитель, уч.65,кад. №71:30:060604:97</t>
  </si>
  <si>
    <t>Прибор учета 1-фазный СЭБ-1ТМ.04Т.00.0002 зав.№ 1911230043 - 1 шт.</t>
  </si>
  <si>
    <t>Сербетов Алексей Петрович, Договор техприсоединения №508-22 от 15.06.2022, Щит учета на ВЛИ-0,4кВ КТП 1351 сеть 6 СНТ Зеленая роща, уч.40</t>
  </si>
  <si>
    <t>Прибор учета 1-фазный Меркурий 204 ARTMХ2-02 зав.№ 48328005 - 1 шт.</t>
  </si>
  <si>
    <t>Шолохов Виктор Степанович, Договор техприсоединения №458-23 от 20.09.2023, Щит учета на ВЛИ-0,4кВ ТП 392 сеть 2 пер. Циалковского, д.2-д, часть ж.д. с кад. №71:30:050301:2101</t>
  </si>
  <si>
    <t>Прибор учета 1-фазный Меркурий 204 зав.№ 49428467 - 1 шт.</t>
  </si>
  <si>
    <t>Романова Татьяна Михайловна, Договор техприсоединения №111-23 от 27.03.2023, Щит учета на ВЛИ-0,4кВ КТП 1516 сеть 1 СНТ Стройматериалы, сад №8, уч. 35, кад.№ 71:30:030702:67</t>
  </si>
  <si>
    <t>Прибор учета 1-фазный Меркурий 204 ARTMХ2-02 зав.№ 49409872 - 1 шт.</t>
  </si>
  <si>
    <t>Русакова Антонина Николаевна, Договор техприсоединения №71-23 от 27.02.2023, Щит учета на ВЛИ-0,4кВ КТП 1516 сеть 1 СНТ Стройматериалы, сад №8, уч.45, кад.№ 71:30:030702:17</t>
  </si>
  <si>
    <t>Прибор учета 1-фазный Меркурий 204 ARTMХ2-02 зав.№ 49409956 - 1 шт.</t>
  </si>
  <si>
    <t>Переведенцева Анастасия Владимировна, Договор техприсоединения №97-23 от 16.03.2023, Щит учета на ВЛИ-0,4кВ КТП 1516 сеть 2 СНТ Стройматериалы, сад №8, уч.57, кад.№ 71:30:030702:145</t>
  </si>
  <si>
    <t>Прибор учета 1-фазный Меркурий 204 ARTMХ2-02 зав.№ 49409882 - 1 шт.</t>
  </si>
  <si>
    <t>Демидов Никита Русланович, Договор техприсоединения №450-22 от 26.05.2022, Щит учета на ВЛИ-0,4кВ КТП 1377 сеть 2 Щекинское ш.,114,СНТ "Металлург 1",уч.4,кад.№ 71:30:080307:66</t>
  </si>
  <si>
    <t>Прибор учета 3-фазный Меркурий 234 ARTMХ2-01 зав.№ 48215989 - 1 шт.</t>
  </si>
  <si>
    <t>Договор подряда № 85 от 09.03.2023, Геоземкадастр ООО</t>
  </si>
  <si>
    <t>Гарибян Роман Арсенович ИП, Договор техприсоединения №3-22 от 11.01.2022, Щит учета на ВЛИ-0,4 КВ от  КТП 1468 сеть 1 ул. Хомяковская,8а,з/у кад. №71:30:060704:451</t>
  </si>
  <si>
    <t>Прибор учета 3-фазный ПСЧ-4ТМ.05МК.22.12 зав.№ 1115230846 - 1 шт.</t>
  </si>
  <si>
    <t>Договор подряда № 473 от 24.11.2022, ООО "РСО-Энерго"</t>
  </si>
  <si>
    <t>Ротов Роман Антонович, Договор техприсоединения №751-22 от 15.09.2022, Щит учета на ВЛ-0,4кВ ТП 107 с.4 с. Хрущево, кад. №71:14:040401:10419</t>
  </si>
  <si>
    <t>Прибор учета 3-фазный ПСЧ-4ТМ.05МК.22.12 зав.№ 1115230860 - 1 шт.</t>
  </si>
  <si>
    <t>Договор подряда № 543 от 30.12.2022, ООО "Компания Электромонтаж"</t>
  </si>
  <si>
    <t>Еремьян Карине Викторовна, Договор техприсоединения №219-23 от 01.06.2023, Щит учета на ВЛИ-0,4кВ КТП 1476 сеть 1 Хомяковское ш.2, СТ Сад №6 ТОЗ,зем. уч. кад №71:30:060624:151</t>
  </si>
  <si>
    <t>Прибор учета 3-фазный ПСЧ-4ТМ.05МК.22.12 зав.№ 1117231100 - 1 шт.</t>
  </si>
  <si>
    <t>Халилов Эльмир Вагиф оглы, Договор техприсоединения №304-23 от 10.07.2023, Щит учета на ВЛИ-0,4кВ РП20 с.1, Зареченский р-н, ул. Б. Гончары, д.90-а,  кад.№71:30:010215:4135</t>
  </si>
  <si>
    <t>Прибор учета 3-фазный Меркурий 234 ARTMХ2-01 зав.№ 49429621 - 1 шт.</t>
  </si>
  <si>
    <t>Алексеева Екатерина Александровна, Договор техприсоединения №326-23 от 20.07.2023, Щит учета на ВЛИ-0,4кВ ТП 180 сеть2, ул. Пороховая, д.11Б (IV владение), кад.№71:30:010201:258</t>
  </si>
  <si>
    <t>Прибор учета 3-фазный Меркурий 234 ARTMХ2-01 зав.№ 49436855 - 1 шт.</t>
  </si>
  <si>
    <t>Мачулянский Владимир Витальевич, Договор техприсоединения №277-23 от 27.06.2023, Щит учета на ВЛИ-0,4кВ КТП 1134 с. 3,Центральный р-н, п. Нов-Скуратово, д.83-а, кад.№71:30:080109:33</t>
  </si>
  <si>
    <t>Прибор учета 3-фазный Меркурий 234 ARTMХ2-01 зав.№ 49432520 - 1 шт.</t>
  </si>
  <si>
    <t>Барков Александр Владимирович, Договор техприсоединения №330-22 от 12.04.2022, Щит учета на ВЛИ-0,4кВ РП 4 сеть 1, ул. Мосина, д.31, ГСК №19, гараж. №17</t>
  </si>
  <si>
    <t>Прибор учета 3-фазный ПСЧ-4ТМ.05МК.22.12 зав.№ 1122220940 - 1 шт.</t>
  </si>
  <si>
    <t>Самчук Николай Николаевич, Договор техприсоединения №709-22 от 19.08.2022, Щит учета на ВЛИ-0,4кВ КТП 1364 сеть 5 Северная часть Зареченского района,уч.14(кад№71:30:010808:60)</t>
  </si>
  <si>
    <t>Прибор учета 3-фазный Меркурий 204 ARTMХ2-01 зав.№ 48215991 - 1 шт.</t>
  </si>
  <si>
    <t>Договор подряда № 2 от 10.01.2023, ООО ЭЛЕКТРОН</t>
  </si>
  <si>
    <t>Ступин Станислав Борисович, Договор техприсоединения №804-22 от 19.10.2022, Щит учета на ВЛИ-0,4кВ КТП 1377 с.2, Щекинское ш.,114,СНТ "Металлург-1",уч.41  кад.№71:30:080307:63</t>
  </si>
  <si>
    <t>Прибор учета 3-фазный Меркурий 234 ARTMХ2-01 зав.№ 48110358 - 1 шт.</t>
  </si>
  <si>
    <t>Сашилина Елена Николаевна, Договор техприсоединения №140-23 от 13.04.2023, Щит учета на ВЛИ-0,4кВ КТП 1134 сеть 3, п. Ново-Скуратово, д..80-А, уч с кад. №71:30:080109:49</t>
  </si>
  <si>
    <t>Прибор учета 3-фазный ПСЧ-4ТМ.05МК.22.12 зав.№ 1117231057 - 1 шт.</t>
  </si>
  <si>
    <t>Договор подряда № 325 от 18.08.2023, ООО "Компания Электромонтаж"</t>
  </si>
  <si>
    <t>Саулин Владимир Николаевич, Договор техприсоединения №99-23 от 16.03.2023, Щит учета на ВЛИ-0,4 кВ ТП48 сеть 4, ул.Мопра, кад.№71:14:030501:11215</t>
  </si>
  <si>
    <t>Прибор учета 3-фазный Меркурий 234 ARTMХ2-01 зав.№ 46203101 - 1 шт.</t>
  </si>
  <si>
    <t>Договор подряда № 99 от 14.03.2022, ООО "Компания Электромонтаж"</t>
  </si>
  <si>
    <t>Гуланова Оксана Валентиновна, Договор техприсоединения №129-23 от 10.04.2023, Щит учета на ВЛИ-0,4кВ ТП 670 с.2- ул. Буденого, кад. №71:30:050214:5793</t>
  </si>
  <si>
    <t>Прибор учета 3-фазный ПСЧ-4ТМ.05МК.22.12 зав.№ 1117231047 - 1 шт.</t>
  </si>
  <si>
    <t>Договор подряда № 338 от 22.08.2023, ООО "Компания Электромонтаж"</t>
  </si>
  <si>
    <t>Шашков Вадим Сергеевич, Договор техприсоединения №117-23 от 30.03.2023, Щит учета на ВЛИ-0,4кВ КТП 1239 сеть 1, ул. Щорса, уч.23-а, кад. №71:30:050305:1729</t>
  </si>
  <si>
    <t>Прибор учета 3-фазный Меркурий 234 ARTMХ2-01 зав.№ 49405449 - 1 шт.</t>
  </si>
  <si>
    <t>Договор подряда № 340 от 22.08.2023, ООО "Компания Электромонтаж"</t>
  </si>
  <si>
    <t>Колоскова Татьяна Юрьевна, Договор техприсоединения №335-23 от 21.07.2023, Щит учета на ВЛИ-0,4кВ КТП 1314 сеть 3, ул. Михалковская, уч.кад.№71:30:020512:604</t>
  </si>
  <si>
    <t>Прибор учета 3-фазный Меркурий 234 ARTMХ2-01 зав.№ 49409363 - 1 шт.</t>
  </si>
  <si>
    <t>Колоскова Татьяна Юрьевна, Договор техприсоединения №335-23 от 21.07.2023, Щит учета на ВЛИ-0,4кВ КТП 1314 сеть 3, ул. Михалковская, уч.кад.№71:30:020512:605</t>
  </si>
  <si>
    <t>Прибор учета 3-фазный Меркурий 234 ARTMХ2-01 зав.№ 49420240 - 1 шт.</t>
  </si>
  <si>
    <t>Царьков Сергей Вячеслвович, Договор техприсоединения №578-21/3272 от 24.11.2021, Щит учета на ВЛИ-0,4 кВ КТП 937 сеть 2 СТ Домнаремонтовец, д.55, з/у кад. №71:30:070703:18</t>
  </si>
  <si>
    <t>Прибор учета 3-фазный ПСЧ-4ТМ.05МК.24.01 зав.№ 1120220754 - 1 шт.</t>
  </si>
  <si>
    <t>Договор подряда № 470 от 23.11.2022, ООО "РСО-Энерго"</t>
  </si>
  <si>
    <t>Жукова Мария Юрьевна, Договор техприсоединения №382-22 от 04.05.2022, Щит учета на ВЛИ-0,4 кВ КТП 937 сеть 2 СТ Домнаремонтовец, уч.8, з/у кад. №71:30:070703:41</t>
  </si>
  <si>
    <t>Прибор учета 3-фазный ПСЧ-4ТМ.05МК.24.01 зав.№ 1120220716  - 1 шт.</t>
  </si>
  <si>
    <t>Кудинова Елена Юрьевна, Договор техприсоединения №432-22 от 23.05.2022, Щит учета на ВЛИ-0,4кВ КТП 1466 с.3 ул. Киреевская, уч. 169, СНТ Металлург-4</t>
  </si>
  <si>
    <t>Прибор учета 3-фазный Меркурий 234 ARTMХ2-01 зав.№ 48053626 - 1 шт.</t>
  </si>
  <si>
    <t>Договор подряда № 86 от 09.03.2023, Геоземкадастр ООО</t>
  </si>
  <si>
    <t>Жихарева Нина Васильевна, Договор техприсоединения №11-22 от 17.01.2022, Щит учета ВЛИ-0,4кВ КТП 1484 сеть 3,СНТ Комарки, уч.106а, кад. №71:14:020634:115</t>
  </si>
  <si>
    <t>Прибор учета 3-фазный ПСЧ-4ТМ.05МК.22.12 зав.№ 1117231090 - 1 шт.</t>
  </si>
  <si>
    <t>Коновалов Юрий Иванович, Договор техприсоединения №322-22 от 07.04.2022, Щит учета ВЛИ-0,4кВ КТП 1484 сеть 3,СНТ Комарки, уч.110, кад. №71:14:020634:118</t>
  </si>
  <si>
    <t>Прибор учета 3-фазный ПСЧ-4ТМ.05МК.22.12 зав.№ 1117231094 - 1 шт.</t>
  </si>
  <si>
    <t>Жихарева Нина Николаевна, Договор техприсоединения №212-22 от 28.02.2022, Щит учета ВЛИ-0,4кВ КТП 1484 сеть 3,СНТ Комарки, уч.111, кад. №71:14:020634:119</t>
  </si>
  <si>
    <t>Прибор учета 3-фазный ПСЧ-4ТМ.05МК.22.12 зав.№ 1117231041 - 1 шт.</t>
  </si>
  <si>
    <t>Морозова Маргарита Викторовна, Договор техприсоединения №219-22 от 01.03.2022, Щит учета ВЛИ-0,4кВ КТП 1484 сеть 3,СНТ Комарки, уч.115, кад. №71:14:020634:123</t>
  </si>
  <si>
    <t>Прибор учета 3-фазный ПСЧ-4ТМ.05МК.22.12 зав.№ 1117231050 - 1 шт.</t>
  </si>
  <si>
    <t>Клишина Евгения Евгеньевна, Договор техприсоединения №700-21/3686 от 29.12.2021, Щит учета ВЛИ-0,4кВ КТП 1484 сеть 3,СНТ Комарки, уч.116, кад. №71:14:020634:124</t>
  </si>
  <si>
    <t>Прибор учета 3-фазный ПСЧ-4ТМ.05МК.22.12 зав.№ 1117231088 - 1 шт.</t>
  </si>
  <si>
    <t>Аршинкина Юлия Владимировна, Договор техприсоединения №122-22 от 01.02.2022, Щит учета ВЛИ-0,4кВ КТП 1484 сеть 3,СНТ Комарки, уч.119, кад. №71:14:020634:127</t>
  </si>
  <si>
    <t>Прибор учета 3-фазный ПСЧ-4ТМ.05МК.22.12 зав.№ 1117231084 - 1 шт.</t>
  </si>
  <si>
    <t>Разуваева Людмила Сергеевна, Договор техприсоединения №414-22 от 17.05.2022, Щит учета ВЛИ-0,4кВ КТП 1484 сеть 3,СНТ Комарки, уч.120, кад. №71:14:020634:128</t>
  </si>
  <si>
    <t>Прибор учета 3-фазный ПСЧ-4ТМ.05МК.22.12 зав.№ 1117231059 - 1 шт.</t>
  </si>
  <si>
    <t>Черникова Надежда Викторовна, Договор техприсоединения №643-21/3498 от 14.12.2021, Щит учета ВЛИ-0,4кВ КТП 1484 сеть 3,СНТ Комарки, уч.122, кад. №71:14:020634:9</t>
  </si>
  <si>
    <t>Прибор учета 3-фазный ПСЧ-4ТМ.05МК.22.12 зав.№ 1117231092 - 1 шт.</t>
  </si>
  <si>
    <t>Артемов Виктор Геннадьевич, Договор техприсоединения №504-22 от 15.06.2022, Щит учета ВЛИ-0,4кВ КТП 1484 сеть 3,СНТ Комарки, уч.123, кад. №71:14:020634:130</t>
  </si>
  <si>
    <t>Прибор учета 3-фазный ПСЧ-4ТМ.05МК.22.12 зав.№ 1117231042 - 1 шт.</t>
  </si>
  <si>
    <t>Савостьянова Евгения Алексеевна, Договор техприсоединения №357-22 от 22.04.2022, Щит учета ВЛИ-0,4кВ КТП 1484 сеть 3,СНТ Комарки, уч.130, кад. №71:14:020634:136</t>
  </si>
  <si>
    <t>Прибор учета 3-фазный ПСЧ-4ТМ.05МК.22.12 зав.№ 1117231075 - 1 шт.</t>
  </si>
  <si>
    <t>Уханев Игорь Георгиевич, Договор техприсоединения №295-22 от 29.03.2022, Щит учета ВЛИ-0,4кВ КТП 1484 сеть 3,СНТ Комарки, уч.77, кад. №71:14:020634:85</t>
  </si>
  <si>
    <t>Прибор учета 3-фазный ПСЧ-4ТМ.05МК.22.12 зав.№ 1117231072 - 1 шт.</t>
  </si>
  <si>
    <t>Комиссаров Денис Михайлович, Договор техприсоединения №8-22 от 17.01.2022, Щит учета ВЛИ-0,4кВ КТП 1484 сеть 3,СНТ Комарки, уч.78, кад. №71:14:020634:86</t>
  </si>
  <si>
    <t>Прибор учета 3-фазный ПСЧ-4ТМ.05МК.22.12 зав.№ 1117231052 - 1 шт.</t>
  </si>
  <si>
    <t>Ходина Надежда Дмитриевна, Договор техприсоединения №648-21/3496 от 14.12.2021, Щит учета ВЛИ-0,4кВ КТП 1484 сеть 3,СНТ Комарки, уч.84, кад. №71:14:020634:200</t>
  </si>
  <si>
    <t>Прибор учета 3-фазный ПСЧ-4ТМ.05МК.22.12 зав.№ 1117231065 - 1 шт.</t>
  </si>
  <si>
    <t>Гирина Анна Олеговна, Договор техприсоединения №269-22 от 21.03.2022, Щит учета ВЛИ-0,4кВ КТП 1484 сеть 3,СНТ Комарки, уч.91, кад. №71:14:020634:100</t>
  </si>
  <si>
    <t>Прибор учета 3-фазный ПСЧ-4ТМ.05МК.22.12 зав.№ 1117231098 - 1 шт.</t>
  </si>
  <si>
    <t>Горюнова Елена Леонидовна, Договор техприсоединения №267-22 от 21.03.2022, Щит учета ВЛИ-0,4кВ КТП 1484 сеть 3,СНТ Комарки, уч.92, кад. №71:14:020634:101</t>
  </si>
  <si>
    <t>Прибор учета 3-фазный ПСЧ-4ТМ.05МК.22.12 зав.№ 1117231087 - 1 шт.</t>
  </si>
  <si>
    <t>Свириденко Ирина Юрьевна, Договор техприсоединения №349-22 от 19.04.2022, Щит учета ВЛИ-0,4кВ КТП 1484 сеть 3,СНТ Комарки, уч.97, кад. №71:14:020634:0003</t>
  </si>
  <si>
    <t>Прибор учета 3-фазный ПСЧ-4ТМ.05МК.22.12 зав.№ 1117231043 - 1 шт.</t>
  </si>
  <si>
    <t>Базыкина Светлана Михайловна, Договор техприсоединения №417-22 от 18.05.2022, Щит учета на ВЛИ-0,4кВ КТП 1484 сеть 1 СНТ Комарки, з/у кад. №71:14:020634:142</t>
  </si>
  <si>
    <t>Прибор учета 3-фазный ПСЧ-4ТМ.05МК.20 зав.№ 1124220788 - 1 шт.</t>
  </si>
  <si>
    <t>Соколов Геннадий Александрович, Договор техприсоединения №315-22 от 06.04.2022, Щит учета на ВЛИ-0,4кВ КТП 1484 сеть 2 СНТ Комарки, з/у кад. №71:14:020634:156</t>
  </si>
  <si>
    <t>Прибор учета 3-фазный ПСЧ-4ТМ.05МК.20 зав.№ 1124220777 - 1 шт.</t>
  </si>
  <si>
    <t>Абрамов Сергей Александрович, Договор техприсоединения №401-22 от 12.05.2022, Щит учета на ВЛИ-0,4кВ КТП 1484 сеть 2 СНТ Комарки, з/у кад. №71:14:020634:157</t>
  </si>
  <si>
    <t>Прибор учета 3-фазный ПСЧ-4ТМ.05МК.20 зав.№ 1124220801 - 1 шт.</t>
  </si>
  <si>
    <t>Мымриков Сергей Владимирович, Договор техприсоединения №206-22 от 28.02.2022, Щит учета на ВЛИ-0,4кВ КТП 1484 сеть 2 СНТ Комарки, з/у кад. №71:14:020634:175</t>
  </si>
  <si>
    <t>Прибор учета 3-фазный ПСЧ-4ТМ.05МК.20 зав.№ 1121230733 - 1 шт.</t>
  </si>
  <si>
    <t>Червинчук Олег Борисович, Договор техприсоединения №209-22 от 28.02.2022_переуступка на Фабрину С.Ю., Щит учета на ВЛИ-0,4кВ КТП 1484 сеть 2 СНТ Комарки, з/у кад. №71:14:020634:182</t>
  </si>
  <si>
    <t>Прибор учета 3-фазный ПСЧ-4ТМ.05МК.20 зав.№ 1124220748 - 1 шт.</t>
  </si>
  <si>
    <t>Шепелев Роман Александрович, Договор техприсоединения №225-23 от 05.06.2023, Щит учета ВЛ-0,4 кВ ТП 165 ул.Литейная/ул.Заварная, кад.№71:30:010219:12014</t>
  </si>
  <si>
    <t>Прибор учета 3-фазный Меркурий 234 ARTMХ2-01 зав.№ 49276451 - 1 шт.</t>
  </si>
  <si>
    <t>Договор подряда № 476 от 08.12.2023, МЕХКОЛОННА № 26 ООО</t>
  </si>
  <si>
    <t>Камилова Мукарамхон Ибрагимовна, Договор техприсоединения №241-23 от 09.06.2023, Щит учета на ВЛИ-0,4 кВ КТП 1466  с.1 п.Горняк, СТ Сад 2 УВД, кад. №71:30:080415:2</t>
  </si>
  <si>
    <t>Прибор учета 3-фазный Меркурий 234 ARTMХ2-01 зав.№ 49464295 - 1 шт.</t>
  </si>
  <si>
    <t>Благов Алексей Викторович, Договор техприсоединения №309-23 от 12.07.2023, Щит учета на ВЛ-0,4кВ ТП 274 сеть 1, п.Октябрьский, 17-й пр-д, д.10, кад.№71:30:010502:54</t>
  </si>
  <si>
    <t>Прибор учета 3-фазный Меркурий 234 ARTMХ2-01 зав.№ 49464277 - 1 шт.</t>
  </si>
  <si>
    <t>Антишин Павел Александрович, Договор техприсоединения №381-23 от 09.08.2023, Щит учета на ВЛИ-0,4 кВ РП 4 с.1 ул.Мосина, д.31 ГСК №19, гараж 117</t>
  </si>
  <si>
    <t>Прибор учета 3-фазный Меркурий 234 ARTMХ2-01 зав.№ 49436829 - 1 шт.</t>
  </si>
  <si>
    <t>Сурначев Михаил Викторович, Договор техприсоединения №234-23 от 07.06.2023, Щит учета на ВЛ-0,4 кВ ТП 227  с.1 п.Октябрьский, 9-й пр-д, кад.№71:30:010505:10135</t>
  </si>
  <si>
    <t>Прибор учета 3-фазный Меркурий 234 ARTMХ2-01 зав.№ 49436825 - 1 шт.</t>
  </si>
  <si>
    <t>Морозов Игорь Борисович, Договор техприсоединения №293-23 от 05.07.2023, Щит учета на ВЛИ-0,4кВ КТП 1350 сеть 3, 20-й Горельский пр-д, д.12, кад.№71:30:010512:828</t>
  </si>
  <si>
    <t>Прибор учета 3-фазный Меркурий 234 ARTMХ2-01 зав.№ 49436841 - 1 шт.</t>
  </si>
  <si>
    <t>Баранов Александр Викторович, Договор техприсоединения №101-23 от 17.03.2023, Щит учета на ВЛИ-0,4кВ КТП1363 сеть3 Северная часть Зареченского р-на, кад. №71:30:000000:9891</t>
  </si>
  <si>
    <t>Прибор учета 3-фазный Меркурий 234 ARTMХ2-01 зав.№ 49419405 - 1 шт.</t>
  </si>
  <si>
    <t>Договор подряда № 302 от 04.08.2023, ООО "РСО-Энерго"</t>
  </si>
  <si>
    <t>Грига Юлия Борисовна, Договор техприсоединения №451-23 от 19.09.2023, Щит учета на ВЛИ-0,4кВ КТП 1364 - с.4, Северная часть Зареченского р-на, кад.№71:00:000000:146013</t>
  </si>
  <si>
    <t>Прибор учета 3-фазный Меркурий 234 ARTMХ2-01 зав.№ 49429650 - 1 шт.</t>
  </si>
  <si>
    <t>Дюков Андрей Александрович, Договор техприсоединения №83-23 от 07.03.2023, Щит учета на ВЛИ-0,4кВ КТП1347 сеть1, Северная ч. Зареченского р-на, уч.кад. №71:30:010803:226</t>
  </si>
  <si>
    <t>Прибор учета 3-фазный Меркурий 234 ARTMХ2-01 зав.№ 49419343 - 1 шт.</t>
  </si>
  <si>
    <t>Договор подряда № 307 от 11.08.2023, ООО "РСО-Энерго"</t>
  </si>
  <si>
    <t>Храмова Галина Сергеевна, Договор техприсоединения №76-23 от 03.03.2023, Щит учета на ВЛИ-0,4кВ КТП 760 сеть 3, п.Рудаково, ул.Победы, д.3Б, №71:30:080217:26</t>
  </si>
  <si>
    <t>Прибор учета 3-фазный Меркурий 234 ARTMХ2-01 зав.№ 49419341 - 1 шт.</t>
  </si>
  <si>
    <t>Договор подряда № 306 от 11.08.2023, ООО "РСО-Энерго"</t>
  </si>
  <si>
    <t>Москаленко Дмитрий Вячеславович, Договор техприсоединения №102-23 от 21.03.2023, Щит учета на ВЛИ-0,4кВ КТП1364 сеть1, Северная ч. Зареченского р-на, уч.47 с кад. №71:30:010807:67</t>
  </si>
  <si>
    <t>Прибор учета 3-фазный Меркурий 234 ARTMХ2-01 зав.№ 49419363 - 1 шт.</t>
  </si>
  <si>
    <t>Договор подряда № 304 от 04.08.2023, ООО "РСО-Энерго"</t>
  </si>
  <si>
    <t>Кудрявцева Евгения Викторовна, Договор техприсоединения №91-23 от 14.03.2023, Щит учета на ВЛИ-0,4кВ КТП1301 сеть3, 2-й Светлый проезд, кад. №71:30:060502:455</t>
  </si>
  <si>
    <t>Прибор учета 3-фазный Меркурий 234 ARTMХ2-01 зав.№ 49419336 - 1 шт.</t>
  </si>
  <si>
    <t>Договор подряда № 303 от 04.08.2023, ООО "РСО-Энерго"</t>
  </si>
  <si>
    <t>Савичев Иван Николаевич, Договор техприсоединения №832-22 от 08.11.2022, Щит учета на ВЛИ- 0,4кВ КТП 1370 сеть 1 СНТ Весна, уч.41, кад.№71:30:070602:205</t>
  </si>
  <si>
    <t>Прибор учета 3-фазный Меркурий 234 ARTMХ2-01 зав.№ 49276438 - 1 шт.</t>
  </si>
  <si>
    <t>Тульское объединение ветеринарии ГУ ТО, Договор техприсоединения №198-22 от 24.02.2022, Щит учета на ВЛИ-0,4кВ КТП1170сеть4,Зареченский р-н,ул.Железнодорожная,7-а,уч.с кад.№71:30:010401:21</t>
  </si>
  <si>
    <t>Прибор учета 3-фазный ПСЧ-4ТМ.05МК.04 зав.№ 1121220472 - 1 шт.</t>
  </si>
  <si>
    <t>Жихарева Юлия Игоревна, Договор техприсоединения №429-22 от 23.05.2022, Щит учета на ВЛИ-0,4кВ КТП 1520 сеть 1 Хомяковское ш.,14,СНТ"Сад 5"ТОЗ,уч.269,кад.№71:30:060620:244</t>
  </si>
  <si>
    <t>Прибор учета 3-фазный Меркурий 234 ARTMХ2-02 зав.№ 49200370 - 1 шт.</t>
  </si>
  <si>
    <t>Демченко Алексей Евгеньевич, Договор техприсоединения №835-22 от 09.11.2022, Щит учета на ВЛИ-0,4кВ КТП 1520 сеть 1 Хомяковское ш.,14,СНТ"Сад 5"ТОЗ,уч.269,кад.№71:30:060620:250</t>
  </si>
  <si>
    <t>Прибор учета 3-фазный Меркурий 234 ARTMХ2-02 зав.№ 49456258 - 1 шт.</t>
  </si>
  <si>
    <t>Демченко Светлана Владимировна, Договор техприсоединения №847-22 от 17.11.2022, Щит учета на ВЛИ-0,4кВ КТП 1520 сеть 1 Хомяковское ш.,14,СНТ"Сад 5"ТОЗ,уч.269,кад.№71:30:060620:251</t>
  </si>
  <si>
    <t>Прибор учета 3-фазный Меркурий 234 ARTMХ2-02 зав.№ 49456259 - 1 шт.</t>
  </si>
  <si>
    <t>Сагирова Лидия Николаевна, Договор техприсоединения №888-22 от 12.12.2022, Щит учета на ВЛИ-0,4кВ КТП 1520 сеть 1 Хомяковское ш.,14,СНТ"Сад 5"ТОЗ,уч.269,кад.№71:30:060620:253</t>
  </si>
  <si>
    <t>Прибор учета 3-фазный Меркурий 234 ARTMХ2-02 зав.№ 49456251 - 1 шт.</t>
  </si>
  <si>
    <t>Ткачева Оксана Владимировна, Договор техприсоединения №201-22 от 24.02.2022, Щит учета на ВЛИ-0,4кВ КТП 1478 СТ Эксперимент, уч.182</t>
  </si>
  <si>
    <t>Прибор учета 3-фазный ПСЧ-4ТМ05МК.22.12 зав.№ 1117231077 - 1 шт.</t>
  </si>
  <si>
    <t>Гришин Василий Вячеславович, Договор техприсоединения №63-22 от 24.01.2022_переуступка на Шелякину Е.А., Щит учета на ВЛИ-0,4кВ КТП 1478 СТ Эксперимент, уч. 212</t>
  </si>
  <si>
    <t>Прибор учета 3-фазный ПСЧ-4ТМ.05МК.22.12 зав.№ 1117231058 - 1 шт.</t>
  </si>
  <si>
    <t>Сушилина Татьяна Петровна, Договор техприсоединения №422-22 от 19.05.2022, Щит учета на ВЛИ-0,4кВ КТП 1478 СТ Эксперимент, уч. 213</t>
  </si>
  <si>
    <t>Прибор учета 3-фазный ПСЧ-4ТМ.05МК.22.12 зав.№ 1115230807 - 1 шт.</t>
  </si>
  <si>
    <t>Мардашова Наталья Ивановна, Договор техприсоединения №23-22 от 19.01.2022, Щит учета на ВЛИ-0,4кВ КТП 1478 СТ Эксперимент, уч.205</t>
  </si>
  <si>
    <t>Прибор учета 3-фазный ПСЧ-4ТМ.05МК.22.12 зав.№ 1115230873 - 1 шт.</t>
  </si>
  <si>
    <t>Шадская Татьяна Анатольевна, Договор техприсоединения №465-22 от 31.05.2022, Щит учета на ВЛИ-0,4кВ КТП 1478 СТ Эксперимент, уч. 190</t>
  </si>
  <si>
    <t>Прибор учета 3-фазный ПСЧ-4ТМ.05МК.22.12 зав.№ 1115230823 - 1 шт.</t>
  </si>
  <si>
    <t>Пильникова Наталья Александровна, Договор техприсоединения №84-22 от 25.01.2022_переуст.на Трифонову М.В, Щит учета на ВЛИ-0,4кВ КТП 1478 СТ Эксперимент, уч. 189</t>
  </si>
  <si>
    <t>Прибор учета 3-фазный ПСЧ-4ТМ.05МК.22.12 зав.№ 1115230832 - 1 шт.</t>
  </si>
  <si>
    <t>Шагрова Татьяна Александровна, Договор техприсоединения №82-22 от 25.01.2022, Щит учета на ВЛИ-0,4кВ КТП 1478 СТ Эксперимент, д. 183</t>
  </si>
  <si>
    <t>Прибор учета 3-фазный ПСЧ-4ТМ.05МК.22.12 зав.№ 1115230849 - 1 шт.</t>
  </si>
  <si>
    <t>Триденская Светлана Игоревна, Договор техприсоединения №96-22 от 27.01.2022, Щит учета на ВЛИ-0,4кВ КТП 1478 СТ Эксперимент, уч. 185</t>
  </si>
  <si>
    <t>Прибор учета 3-фазный ПСЧ-4ТМ.05МК.22.12 зав.№ 1117231076 - 1 шт.</t>
  </si>
  <si>
    <t>Нестерова Ирина Михайловна, Договор техприсоединения №132-22 от 03.02.2022, Щит учета на ВЛИ-0,4кВ КТП 1478 СТ Эксперимент, д. 194</t>
  </si>
  <si>
    <t>Прибор учета 3-фазный ПСЧ-4ТМ.05МК.22.12 зав.№ 1115230805 - 1 шт.</t>
  </si>
  <si>
    <t>Ктиторов Дмитрий Александрович, Договор техприсоединения №33-22 от 20.01.2022, Щит учета на ВЛИ-0,4кВ КТП 1478 СТ Эксперимент, д. 195</t>
  </si>
  <si>
    <t>Прибор учета 3-фазный ПСЧ-4ТМ.05МК.22.12 зав.№ 1115230877 - 1 шт.</t>
  </si>
  <si>
    <t>Зюкова Светлана Владимировна, Договор техприсоединения №340-22 от 15.04.2022, Щит учета на ВЛИ-0,4кВ КТП 1478 СТ Эксперимент, уч. 201</t>
  </si>
  <si>
    <t>Прибор учета 3-фазный ПСЧ-4ТМ.05МК.22.12 зав.№ 1117231079 - 1 шт.</t>
  </si>
  <si>
    <t>Седова Елизавета Ильинична, Договор техприсоединения №71-22 от 25.01.2022, Щит учета на ВЛИ-0,4кВ КТП 1478 СТ Эксперимент, д. 204</t>
  </si>
  <si>
    <t>Прибор учета 3-фазный ПСЧ-4ТМ.05МК.22.12 зав.№ 1117231045 - 1 шт.</t>
  </si>
  <si>
    <t>Летягина Людмила Викторовна, Договор техприсоединения №87-22 от 25.01.2022, Щит учета на ВЛИ-0,4кВ КТП 1478 СТ Эксперимент, уч. 202</t>
  </si>
  <si>
    <t>Прибор учета 3-фазный ПСЧ-4ТМ.05МК.22.12 зав.№ 1116220169 - 1 шт.</t>
  </si>
  <si>
    <t>Тюрина Евгения Николаевна, Договор техприсоединения №93-22 от 26.01.2022, Щит учета на ВЛИ-0,4кВ КТП 1478 СТ Эксперимент, уч. 31</t>
  </si>
  <si>
    <t>Прибор учета 3-фазный ПСЧ-4ТМ.05МК.22.12 зав.№ 1117231051 - 1 шт.</t>
  </si>
  <si>
    <t>Комолова Надежда Владимировна, Договор техприсоединения №83-22 от 25.01.2022, Щит учета на ВЛИ-0,4кВ КТП 1478 СТ Эксперимент, уч. 26</t>
  </si>
  <si>
    <t>Прибор учета 3-фазный ПСЧ-4ТМ.05МК.22.12 зав.№ 1115230822 - 1 шт.</t>
  </si>
  <si>
    <t>Дуганов Роман Викторович, Договор техприсоединения №97-22 от 27.01.2022, Щит учета на ВЛИ-0,4кВ КТП 1478 СТ Эксперимент, уч. 29</t>
  </si>
  <si>
    <t>Прибор учета 3-фазный ПСЧ-4ТМ.05МК.22.12 зав.№ 1117231096 - 1 шт.</t>
  </si>
  <si>
    <t>Провоторова Ольга Николаевна, Договор техприсоединения №88-22 от 25.01.2022, Щит учета на ВЛИ-0,4кВ КТП 1478 СТ Эксперимент, уч. 35</t>
  </si>
  <si>
    <t>Прибор учета 3-фазный ПСЧ-4ТМ.05МК.22.12 зав.№ 1117231060 - 1 шт.</t>
  </si>
  <si>
    <t>Рогачева Вера Николаевна, Договор техприсоединения №56-22 от 24.01.2022, Щит учета на ВЛИ-0,4кВ КТП 1478 СТ Эксперимент, д. 46</t>
  </si>
  <si>
    <t>Прибор учета 3-фазный ПСЧ-4ТМ.05МК.22.12 зав.№ 1117231085 - 1 шт.</t>
  </si>
  <si>
    <t>Заяц Александр Сергеевич, Договор техприсоединения №100-22 от 27.01.2022, Щит учета на ВЛИ-0,4кВ КТП 1478 СТ Эксперимент, уч. 4</t>
  </si>
  <si>
    <t>Прибор учета 3-фазный ПСЧ-4ТМ.05МК.22.12 зав.№ 1117231099 - 1 шт.</t>
  </si>
  <si>
    <t>Желткова Ольга Николаевна, Договор техприсоединения №69-22 от 25.01.2022, Щит учета на ВЛИ-0,4кВ КТП 1478 СТ Эксперимент, уч. 13</t>
  </si>
  <si>
    <t>Прибор учета 3-фазный ПСЧ-4ТМ.05МК.22.12 зав.№ 1117231056 - 1 шт.</t>
  </si>
  <si>
    <t>Бурлуцкий Василий Игнатьевич, Договор техприсоединения №52-22 от 24.01.2022, Щит учета на ВЛИ-0,4кВ КТП 1478 СТ Эксперимент, уч. 17</t>
  </si>
  <si>
    <t>Прибор учета 3-фазный ПСЧ-4ТМ.05МК.22.12 зав.№ 1117231073 - 1 шт.</t>
  </si>
  <si>
    <t>Яковлева Галина Иосифовна, Договор техприсоединения №126-22 от 01.02.2022, Щит учета на ВЛИ-0,4кВ КТП 1478 СТ Эксперимент, уч. 28</t>
  </si>
  <si>
    <t>Прибор учета 3-фазный ПСЧ-4ТМ.05МК.22.12 зав.№ 1117231063 - 1 шт.</t>
  </si>
  <si>
    <t>Сабиржанов Иосиф Фатклислямович, Договор техприсоединения №254-22 от 11.03.2022, Щит учета на ВЛИ-0,4кВ КТП 1478 СТ Эксперимент, уч. 30</t>
  </si>
  <si>
    <t>Прибор учета 3-фазный ПСЧ-4ТМ.05МК.22.12 зав.№ 1117231101 - 1 шт.</t>
  </si>
  <si>
    <t>Борзов Виталий Юрьевич, Договор техприсоединения №128-22 от 01.02.2022, Щит учета на ВЛИ-0,4кВ КТП 1478 СТ Эксперимент, уч. 34</t>
  </si>
  <si>
    <t>Прибор учета 3-фазный ПСЧ-4ТМ.05МК.22.12 зав.№ 1117231068 - 1 шт.</t>
  </si>
  <si>
    <t>Попова Гульнара Андреевна, Договор техприсоединения №265-22 от 18.03.2022, Щит учета на ВЛИ-0,4кВ КТП 1478 СТ Эксперимент, уч. 2</t>
  </si>
  <si>
    <t>Прибор учета 3-фазный ПСЧ-4ТМ.05МК.22.12 зав.№ 1117231080 - 1 шт.</t>
  </si>
  <si>
    <t>Сальникова Варвара Андреевна, Договор техприсоединения №113-22 от 31.01.2022, Щит учета на ВЛИ-0,4кВ КТП 1478 СТ Эксперимент, уч. 4-а</t>
  </si>
  <si>
    <t>Прибор учета 3-фазный ПСЧ-4ТМ.05МК.22.12 зав.№ 1117231093 - 1 шт.</t>
  </si>
  <si>
    <t>Абаничева Татьяна Николаевна, Договор техприсоединения №160-22 от 10.02.2022, Щит учета на ВЛИ-0,4кВ КТП 1478 СТ Эксперимент, уч.11</t>
  </si>
  <si>
    <t>Прибор учета 3-фазный ПСЧ-4ТМ.05МК.22.12 зав.№ 1115230879 - 1 шт.</t>
  </si>
  <si>
    <t>Филиппова Валентина Ивановна, Договор техприсоединения №114-22 от 31.01.2022, Щит учета на ВЛИ-0,4кВ КТП 1478 СТ Эксперимент, уч. 12</t>
  </si>
  <si>
    <t>Прибор учета 3-фазный ПСЧ-4ТМ.05МК.22.12 зав.№ 1115230881 - 1 шт.</t>
  </si>
  <si>
    <t>Липатова Эмилия Геннадьевна, Договор техприсоединения №277-22 от 22.03.2022, Щит учета на ВЛИ-0,4кВ КТП 1478 СТ Эксперимент, уч. 50</t>
  </si>
  <si>
    <t>Прибор учета 3-фазный ПСЧ-4ТМ.05МК.22.12 зав.№ 1117231044 - 1 шт.</t>
  </si>
  <si>
    <t>Зубкова Татьяна Игоревна, Договор техприсоединения №94-22 от 26.01.2022, Щит учета на ВЛИ-0,4кВ КТП 1478 СТ Эксперимент, уч. 92</t>
  </si>
  <si>
    <t>Прибор учета 3-фазный ПСЧ-4ТМ.05МК.22.12 зав.№ 1115230865 - 1 шт.</t>
  </si>
  <si>
    <t>Сухова Алла Анатольевна, Договор техприсоединения №34-22 от 20.01.2022, Щит учета на ВЛИ-0,4кВ КТП 1478 СТ Эксперимент, уч. 99</t>
  </si>
  <si>
    <t>Прибор учета 3-фазный ПСЧ-4ТМ.05МК.22.12 зав.№ 1115230827 - 1 шт.</t>
  </si>
  <si>
    <t>Дорофеева Маргарита Дмитриевна, Договор техприсоединения №98-22 от 27.01.2022, Щит учета на ВЛИ-0,4кВ КТП 1478 СТ Эксперимент, уч. 71</t>
  </si>
  <si>
    <t>Прибор учета 3-фазный ПСЧ-4ТМ.05МК.22.12 зав.№ 1115230847 - 1 шт.</t>
  </si>
  <si>
    <t>Окороков Анатолий Николаевич, Договор техприсоединения №58-22 от 24.01.2022, Щит учета на ВЛИ-0,4кВ КТП 1478 СТ Эксперимент, д. 95</t>
  </si>
  <si>
    <t>Прибор учета 3-фазный ПСЧ-4ТМ.05МК.22.12 зав.№ 1115230883 - 1 шт.</t>
  </si>
  <si>
    <t>Кудлай Оксана Леонидовна, Договор техприсоединения №48-22 от 24.01.2022, Щит учета на ВЛИ-0,4кВ КТП 1478 СТ Эксперимент, уч. 94</t>
  </si>
  <si>
    <t>Прибор учета 3-фазный ПСЧ-4ТМ.05МК.22.12 зав.№ 1117231091 - 1 шт.</t>
  </si>
  <si>
    <t>Иванов Владимир Петрович, Договор техприсоединения №45-22 от 24.01.2022, Щит учета на ВЛИ-0,4кВ КТП 1478 СТ Эксперимент, уч. 93</t>
  </si>
  <si>
    <t>Прибор учета 3-фазный ПСЧ-4ТМ.05МК.22.12 зав.№ 1115230795 - 1 шт.</t>
  </si>
  <si>
    <t>Иноземцева Лариса Ильинична, Договор техприсоединения №31-22 от 20.01.2022, Щит учета на ВЛИ-0,4кВ КТП 1478 СТ Эксперимент, уч. 56</t>
  </si>
  <si>
    <t>Прибор учета 3-фазный ПСЧ-4ТМ.05МК.22.12 зав.№ 1117231061 - 1 шт.</t>
  </si>
  <si>
    <t>Москалева Елена Николаевна, Договор техприсоединения №47-22 от 24.01.2022, Щит учета на ВЛИ-0,4кВ КТП 1478 СТ Эксперимент, уч. 54</t>
  </si>
  <si>
    <t>Прибор учета 3-фазный ПСЧ-4ТМ.05МК.22.12 зав.№ 1115230814 - 1 шт.</t>
  </si>
  <si>
    <t>Орлова Татьяна Сергеевна, Договор техприсоединения №17-22 от 18.01.2022, Щит учета на ВЛИ-0,4кВ КТП 1478 СТ Эксперимент, уч. 59</t>
  </si>
  <si>
    <t>Прибор учета 3-фазный ПСЧ-4ТМ.05МК.22.12 зав.№ 1115230861 - 1 шт.</t>
  </si>
  <si>
    <t>Илюхина Ольга Владимировна, Договор техприсоединения №73-22 от 25.01.2022, Щит учета на ВЛИ-0,4кВ КТП 1478 СТ Эксперимент, уч. 76</t>
  </si>
  <si>
    <t>Прибор учета 3-фазный ПСЧ-4ТМ.05МК.22.12 зав.№ 1115230852 - 1 шт.</t>
  </si>
  <si>
    <t>Самофалов Сергей Николаевич, Договор техприсоединения №35-22 от 20.01.2022, Щит учета на ВЛИ-0,4кВ КТП 1478 СТ Эксперимент, уч. 78</t>
  </si>
  <si>
    <t>Прибор учета 3-фазный ПСЧ-4ТМ.05МК.22.12 зав.№ 1117231053 - 1 шт.</t>
  </si>
  <si>
    <t>Илюхина Татьяна Евгеньевна, Договор техприсоединения №49-22 от 24.01.2022, Щит учета на ВЛИ-0,4кВ КТП 1478 СТ Эксперимент, уч. 80</t>
  </si>
  <si>
    <t>Прибор учета 3-фазный ПСЧ-4ТМ.05МК.22.12 зав.№ 1117231064 - 1 шт.</t>
  </si>
  <si>
    <t>Бубнов Максим Николаевич, Договор техприсоединения №55-22 от 24.01.2022, Щит учета на ВЛИ-0,4кВ КТП 1478 СТ Эксперимент, уч. 103</t>
  </si>
  <si>
    <t>Прибор учета 3-фазный ПСЧ-4ТМ.05МК.22.12 зав.№ 1115230801 - 1 шт.</t>
  </si>
  <si>
    <t>Митрофанова Ольга Сергеевна, Договор техприсоединения №70-22 от 25.01.2022, Щит учета на ВЛИ-0,4кВ КТП 1478 СТ Эксперимент, уч. 109</t>
  </si>
  <si>
    <t>Прибор учета 3-фазный ПСЧ-4ТМ.05МК.22.12 зав.№ 1115230793 - 1 шт.</t>
  </si>
  <si>
    <t>Макаров Михаил Андреевич, Договор техприсоединения №161-22 от 10.02.2022, Щит учета на ВЛИ-0,4кВ КТП 1478 СТ Эксперимент, уч.60</t>
  </si>
  <si>
    <t>Прибор учета 3-фазный ПСЧ-4ТМ.05МК.22.12 зав.№ 1117231083 - 1 шт.</t>
  </si>
  <si>
    <t>Лущ Светлана Константиновна, Договор техприсоединения №181-22 от 17.02.2022, Щит учета на ВЛИ-0,4кВ КТП 1478 СТ Эксперимент, д.64</t>
  </si>
  <si>
    <t>Прибор учета 3-фазный ПСЧ-4ТМ.05МК.22.12 зав.№ 1117231066 - 1 шт.</t>
  </si>
  <si>
    <t>Васильевых Анна Викторовна, Договор техприсоединения №366-22 от 26.04.2022, Щит учета на ВЛИ-0,4кВ КТП 1478 СТ Эксперимент, уч. 137</t>
  </si>
  <si>
    <t>Прибор учета 3-фазный ПСЧ-4ТМ.05МК.22.12 зав.№ 1120220744 - 1 шт.</t>
  </si>
  <si>
    <t>Петрин Александр Николаевич, Договор техприсоединения №433-22 от 24.05.2022, Щит учета на ВЛИ-0,4кВ КТП 1478 СТ Эксперимент, уч. 141</t>
  </si>
  <si>
    <t>Прибор учета 3-фазный ПСЧ-4ТМ.05МК.22.12 зав.№ 1115230830 - 1 шт.</t>
  </si>
  <si>
    <t>Антонова Елена Ивановна, Договор техприсоединения №400-22 от 11.05.2022, Щит учета на ВЛИ-0,4кВ КТП 1478 СТ Эксперимент, уч. 164</t>
  </si>
  <si>
    <t>Прибор учета 3-фазный ПСЧ-4ТМ.05МК.22.12 зав.№ 1115230884 - 1 шт.</t>
  </si>
  <si>
    <t>Бубнова Ольга Николаевна, Договор техприсоединения №39-22 от 20.01.2022, Щит учета на ВЛИ-0,4кВ КТП 1478 СТ Эксперимент, уч. 124</t>
  </si>
  <si>
    <t>Прибор учета 3-фазный ПСЧ-4ТМ.05МК.22.12 зав.№ 1115230826 - 1 шт.</t>
  </si>
  <si>
    <t>Двоенко Ирина Юрьевна, Договор техприсоединения №60-22 от 24.01.2022, Щит учета на ВЛИ-0,4кВ КТП 1478 СТ Эксперимент, д. 114</t>
  </si>
  <si>
    <t>Прибор учета 3-фазный ПСЧ-4ТМ.05МК.22.12 зав.№ 1115230797 - 1 шт.</t>
  </si>
  <si>
    <t>Вагнер Оксана Юрьевна, Договор техприсоединения №15-23 от 17.01.2023, Щит учета на ВЛ-0,4 кВ ТП 217 с.2 ул. Радищева, уч.9А, кад. №71:30:020610:1523</t>
  </si>
  <si>
    <t>Прибор учета 3-фазный ПСЧ-4ТМ.05МК зав.№ 1118231806 - 1 шт.</t>
  </si>
  <si>
    <t>Осипов Сергей Евгеньевич, Договор техприсоединения №19-23 от 18.01.2023, Щит учета на ВЛ-0,4 кВ ТП 217 с.2 ул. Радищева, уч.9, кад. №71:30:020610:1524</t>
  </si>
  <si>
    <t>Прибор учета 3-фазный ПСЧ-4ТМ.05МК зав.№ 1118231784 - 1 шт.</t>
  </si>
  <si>
    <t>Долженко Николай Вячеславович, Договор техприсоединения №187-23 от 16.05.2023, Щит учета на ВЛИ-0,4кВ КТП 1212 сеть 1 ул. Михайловская, з/у кад. №71:30:020512:587</t>
  </si>
  <si>
    <t>Прибор учета 3-фазный ПСЧ-4ТМ.05МК.22.12 зав.№ 1117231097 - 1 шт.</t>
  </si>
  <si>
    <t>Договор подряда № 293 от 31.07.2023, МЕХКОЛОННА № 26 ООО</t>
  </si>
  <si>
    <t>Кузина Евгения Евгеньевна, Договор техприсоединения №208-23 от 29.05.2023, Щит учета на ВЛИ-0,4 кВ ТП 729 сеть1, г. Тула, Новорабочий пр-д, кад. №71:30:020514:124</t>
  </si>
  <si>
    <t>Прибор учета 3-фазный Меркурий 234 ARTMХ2-01 зав.№ 49432539 - 1 шт.</t>
  </si>
  <si>
    <t>Киракосян Гарик Завенович, Договор техприсоединения №227-23 от 05.06.2023, Щит учета на ВЛИ-0,4кВ  КТП 1397 сеть 1, 13-й пр-д Мясново/ул. Воздухофлотская, д.41/75</t>
  </si>
  <si>
    <t>Прибор учета 3-фазный Меркурий 234 ARTMХ2-01 зав.№ 49432524 - 1 шт.</t>
  </si>
  <si>
    <t>Нечепурнова Татьяна Витальевна, Договор техприсоединения №283-23 от 30.06.2023, Щит учета на ВЛ-0,4кВ ТП 61 ул. М.Смирнова, уч. 16, кад.№71:30:050204:1217</t>
  </si>
  <si>
    <t>Прибор учета 3-фазный Меркурий 234 ARTMХ2-01 зав.№ 49409360 - 1 шт.</t>
  </si>
  <si>
    <t>Федотов Дмитрий Павлович, Договор техприсоединения №289-23 от 03.07.2023, Щит учета на ВЛ-0,4кВ ТП 61 ул. М.Смирнова, уч. 16-а, кад.№71:30:050204:1218</t>
  </si>
  <si>
    <t>Прибор учета 3-фазный Меркурий 234 ARTMХ2-01 зав.№ 49432541 - 1 шт.</t>
  </si>
  <si>
    <t>Гуляева Анастасия Михайловна, Договор техприсоединения №282-23 от 30.06.2023, Щит учета на ВЛ-0,4кВ ТП 61 ул. М.Смирнова, уч. 16-б, кад.№71:30:050204:1219</t>
  </si>
  <si>
    <t>Прибор учета 3-фазный ПСЧ-4ТМ.05МК.22.12 зав.№ 1117231062 - 1 шт.</t>
  </si>
  <si>
    <t>Зиновиев Владимир Борисович, Договор техприсоединения №286-23 от 30.06.2023, Щит учета на ВЛ-0,4кВ ТП 61 ул. М.Смирнова, уч. 16-в, кад.№71:30:050204:1223</t>
  </si>
  <si>
    <t>Прибор учета 3-фазный ПСЧ-4ТМ.05МК.22.12 зав.№ 1117231049 - 1 шт.</t>
  </si>
  <si>
    <t>Климкина Оксана Владимировна, Договор техприсоединения №284-23 от 30.06.2023, Щит учета на ВЛ-0,4кВ ТП 61 ул. М.Смирнова, уч. 16-г, кад.№71:30:050204:1221</t>
  </si>
  <si>
    <t>Прибор учета 3-фазный Меркурий 234 ARTMХ2-01 зав.№ 49432536 - 1 шт.</t>
  </si>
  <si>
    <t>Александров Сергей Витальевич, Договор техприсоединения №271-23 от 23.06.2023, Щит учета на ВЛИ-0,4кВ КТП 1466 сеть 3, ул.Киреевская, СНТ Металлург-4, уч.143, кад.71:30:080208:137</t>
  </si>
  <si>
    <t>Прибор учета 3-фазный Меркурий 234 ARTMХ2-01 зав.№ 49436853 - 1 шт.</t>
  </si>
  <si>
    <t>Договор подряда № 475 от 08.12.2023, МЕХКОЛОННА № 26 ООО</t>
  </si>
  <si>
    <t>Холодняк Иван Витальевич, Договор техприсоединения №64-23 от 20.02.2023, Щит учета на ВЛИ-0,4кВ КТП 1314 сеть 3, ул. Косогорская, д.10, кад.№71:30:020511:892</t>
  </si>
  <si>
    <t>Прибор учета 3-фазный ПСЧ-4ТМ.05МК.20 зав.№ 1119230824 - 1 шт.</t>
  </si>
  <si>
    <t>Ефремов Дмитрий Михайлович, Договор техприсоединения №67-23 от 21.02.2023, Щит учета на ВЛ-0,4 кВ ТП 641 сеть 2, ул. Белинского,27, помещение 2</t>
  </si>
  <si>
    <t>Прибор учета 3-фазный ПСЧ-4ТМ.05МК.20 зав.№ 1119230900 - 1 шт.</t>
  </si>
  <si>
    <t>Борисов Андрей Вячеславович, Договор техприсоединения №27-22 от 20.01.2022, Щит учета на ВЛИ-0,4кВ КТП 1478 СТ Эксперимент, уч. 206</t>
  </si>
  <si>
    <t>Арутюнян Самвел Хачатурович, Договор техприсоединения №40-23 от 30.01.2023, Щит учета на ВЛ-0,4кВ ТП 695, ул. Глухополянская, уч. с кад.№71:30:030827:2732</t>
  </si>
  <si>
    <t>Прибор учета 3-фазный ПСЧ-4ТМ.05МК.20 зав.№ 1119230787 - 1 шт. # изм.29.11.2024 (перемещение ОС 43)</t>
  </si>
  <si>
    <t>Мартьянов Константин Евгеньевич, Договор техприсоединения №150-23 от 21.04.2023, Щит учета на ВЛИ-0,4кВ КТП1347 сеть4, Северная ч.,Зареченского р-а, кад. №71:30:010803:223</t>
  </si>
  <si>
    <t>Прибор учета 3-фазный ПСЧ-4ТМ.05МК.16 зав.№ 1113240858 - 1 шт.</t>
  </si>
  <si>
    <t>Архипов Михаил Юрьевич, Договор техприсоединения №263-23 от 20.06.2023, Щит учета на ВЛИ-0,4кВ КТП 1476 с.1, Хомяковское ш.,2, СНТ №6 ТОЗ, уч. с кад.№71:30:060624:152</t>
  </si>
  <si>
    <t>Прибор учета 3-фазный Меркурий 234 ARTMХ2-01 зав.№ 49419393 - 1 шт.</t>
  </si>
  <si>
    <t>Шишкин Артём Анатольевич, Договор техприсоединения №132-23 от 11.04.2023, Щит учета на ВЛИ-0,4кВ ТП823 сеть3 ул.Ивана Франко, уч.4, кад №71:30:030824:251</t>
  </si>
  <si>
    <t>Прибор учета 3-фазный Энергомера CE307 зав.№ 12998193270263 - 1 шт.</t>
  </si>
  <si>
    <t>Договор подряда № 282 от 20.07.2023, МЕХКОЛОННА № 26 ООО</t>
  </si>
  <si>
    <t>Шепелев Роман Александрович, Договор техприсоединения №880-22 от 07.12.2022, Щит учета на ВЛИ-0,4 кВ КТП 1304 ул. Карла Либкнехта, кад. №71:30:050104:972</t>
  </si>
  <si>
    <t>Прибор учета 3-фазный ПСЧ-4ТМ.05МК.20 зав.№ 118231790 - 1 шт.</t>
  </si>
  <si>
    <t>Геометрия ООО, Договор техприсоединения №194-23 от 18.05.2023, Щит учета на ВЛИ-0,4кВ ТП 901 сеть 1 п.Косая Гора, по ул. М.Горького</t>
  </si>
  <si>
    <t>Прибор учета 3-фазный ПСЧ-4ТМ.05МК.22.12 зав.№ 1117231069 - 1 шт.</t>
  </si>
  <si>
    <t>Договор подряда № 292 от 31.07.2023, МЕХКОЛОННА № 26 ООО</t>
  </si>
  <si>
    <t>Саулин Роман Владимирович, Договор техприсоединения №109-23 от 27.03.2023, Щит учета на ВЛ-0,4 кВ ТП 48 сеть 4, ул. Жореса, кад. №71:30:030501:15102</t>
  </si>
  <si>
    <t>Прибор учета 3-фазный Меркурий 234 ARTMХ2-01 зав.№ 49432558 - 1 шт.</t>
  </si>
  <si>
    <t>Договор подряда № 330 от 21.08.2023, ООО "Компания Электромонтаж"</t>
  </si>
  <si>
    <t>Карпченко Владимир Владимирович, Договор техприсоединения №334-23 от 21.07.2023, Щит учета на ВЛИ-0,4кВ КТП 735 сеть 1, п. Первомайский, ул. Шевченко, д.2-а, кад.№71:30:080303:25</t>
  </si>
  <si>
    <t>Прибор учета 3-фазный Меркурий 234 ARTMХ2-01 зав.№ 49419380 - 1 шт.</t>
  </si>
  <si>
    <t>Первая Башенная Компания АО, Договор техприсоединения №331-23 от 20.07.2023, Щит учета на ВЛИ-0,4кВ КТП 1404 - с.3,п.Угольн,зем.уч.@121681,вблизи ул.Шоссейн(54.094158,37.618908)</t>
  </si>
  <si>
    <t>Прибор учета 3-фазный Меркурий 234 ARTMХ2-01 зав.№ 49483697 - 1 шт.</t>
  </si>
  <si>
    <t>Мухина Елена Владимировна, Договор техприсоединения №345-23 от 27.07.2023, Щит учета на ВЛИ-0,4кВ КТП 1434 - с.3, ул. Оборонная, д.63, кад.№71:30:050205:161</t>
  </si>
  <si>
    <t>Прибор учета 3-фазный Меркурий 234 ARTMХ2-01 зав.№ 49419412 - 1 шт.</t>
  </si>
  <si>
    <t>Арутюнян Андрей Ашотович, Договор техприсоединения №266-23 от 21.06.2023, Щит учета на ВЛИ-0,4кВ ТП 20 сеть 1, ул. Пушкинская/ул. Жуковского, д.4/31, кад.№71:30:050203:3693</t>
  </si>
  <si>
    <t>Прибор учета 3-фазный Меркурий 234 ARTMХ2-01 зав.№ 49419392 - 1 шт.</t>
  </si>
  <si>
    <t>Найденов Сергей Александрович, Договор техприсоединения №269-23 от 23.06.2023, Щит учета на ВЛИ-0,4кВ ТП 62 сеть 2, ул. Горняцкая/ул. Агеева, кад.№71:30:050304:1865</t>
  </si>
  <si>
    <t>Прибор учета 3-фазный Меркурий 234 ARTMХ2-01 зав.№ 49419410 - 1 шт.</t>
  </si>
  <si>
    <t>Найденов Сергей Александрович, Договор техприсоединения №270-23 от 23.06.2023, Щит учета на ВЛИ-0,4кВ ТП 392 сеть 1, ул. Горняцкая/ул. Агеева, кад.№71:30:050304:1866</t>
  </si>
  <si>
    <t>Прибор учета 3-фазный Меркурий 234 ARTMХ2-01 зав.№ 49419408 - 1 шт.</t>
  </si>
  <si>
    <t>Булавинцева Наталия Сергеевна, Договор техприсоединения №256-23 от 20.06.2023, Щит учета на ВЛИ-0,4кВ КТП 756 сеть 3 ул. Нижняя Волоховская, 32-б, кад.№71:30:020612:922</t>
  </si>
  <si>
    <t>Прибор учета 3-фазный Меркурий 234 ARTMХ2-01 зав.№ 49419376 - 1 шт.</t>
  </si>
  <si>
    <t>Лапушкин Роман Владимирович, Договор техприсоединения №519-23 от 24.10.2023, Щит учета на ВЛИ-0,4кВ КТП 1297 сеть 1 Северная часть Зареченского района, кад. №71:30:010805:231</t>
  </si>
  <si>
    <t>Прибор учета 3-фазный Меркурий 234 ARTMХ2-02 зав.№ 49464173 - 1 шт.</t>
  </si>
  <si>
    <t>Стаценко Мария Игоревна, Договор техприсоединения №493-23 от 04.10.2023, Щит учета на ВЛИ-0,4кВ КТП 1347-сеть №2, уч.№37 пос. Горелки кад №71:30:010804:251</t>
  </si>
  <si>
    <t>Прибор учета 3-фазный Меркурий 234 ARTMХ2-02 зав.№ 49621456 - 1 шт.</t>
  </si>
  <si>
    <t>Тарасов Илья Борисович, Договор техприсоединения №645-23 от 14.12.2023, Щит учета на ВЛИ-0,4кВ КТП 1341 сеть 2 Северная часть Зареченского р-на, кад. №71:30:010808:63</t>
  </si>
  <si>
    <t>Прибор учета 3-фазный Меркурий 234 ARTMХ2-01 зав.№ 49483701 - 1 шт.</t>
  </si>
  <si>
    <t>Договор подряда № 98 от 15.04.2024, МЕХКОЛОННА № 26 ООО</t>
  </si>
  <si>
    <t>Пауль Любовь Николаевна, Договор техприсоединения №23-23 от 19.01.2023, Щит учета на ВЛИ-0,4кВ КТП 1466 сеть 1 ул. Киреевская, 10 СТ №1 ТЗ РТИ уч. 18, кад.№71:30:080406:25</t>
  </si>
  <si>
    <t>Прибор учета 3-фазный Меркурий 234 ARTMХ2-01 зав.№ 49568544 - 1 шт.</t>
  </si>
  <si>
    <t>Договор подряда № 193 от 22.05.2023, ООО "Компания Электромонтаж"</t>
  </si>
  <si>
    <t>Селиванова Елизавета Игоревна, Договор техприсоединения №235-23 от 07.06.2023, Щит учета на ВЛИ-0,4кВ КТП 1478 сеть4 СТ Эксперимент, уч. 53, кад. №71:30:090308:65</t>
  </si>
  <si>
    <t>Прибор учета 3-фазный Меркурий 234 ARTMХ2-01 зав.№ 49419389 - 1 шт.</t>
  </si>
  <si>
    <t>Нефедов Сергей Анатольевич, Договор техприсоединения №316-23 от 13.07.2023, Щит учета на ВЛИ-0,4кВ КТП 1377 сеть 2, Щекинское ш., 114, СНТ Металлург 1, кад.№71:30:080307:10</t>
  </si>
  <si>
    <t>Прибор учета 3-фазный Меркурий 234 ARTMХ2-01 зав.№ 49276444 - 1 шт.</t>
  </si>
  <si>
    <t>Зимулина Людмила Евгеньевна, Договор техприсоединения №328-23 от 20.07.2023, Щит учета на ВЛИ-0,4кВ КТП 1466 сеть 3, ул.Киреевская, СНТ Металлург-4, уч.126, кад.№71:30:080208:79</t>
  </si>
  <si>
    <t>Прибор учета 3-фазный Меркурий 234 ARTMХ2-01 зав.№ 49429608 - 1 шт.</t>
  </si>
  <si>
    <t>Юркин Вячеслав Вячеславович, Договор техприсоединения №327-23 от 20.07.2023, Щит учета на ВЛИ-0,4кВ КТП 1466 сеть 3, ул.Киреевская, СНТ Металлург-4, уч.179, кад.71:30:080208:478</t>
  </si>
  <si>
    <t>Прибор учета 3-фазный Меркурий 234 ARTMХ2-01 зав.№ 49436847 - 1 шт.</t>
  </si>
  <si>
    <t>Колетвинов Алексей Сергеевич, Договор техприсоединения №423-23 от 01.09.2023, Щит учета на ВЛИ-0,4кВ КТП 1520 сеть1 СНТ Сад 5 ТОЗ, уч.232, кад. №71:30:060620:14</t>
  </si>
  <si>
    <t>Прибор учета 3-фазный Меркурий 234 ARTMХ2-02 зав.№ 49456247 - 1 шт.</t>
  </si>
  <si>
    <t>Шароватова Юлия Юрьевна, Договор техприсоединения №433-23 от 08.09.2023, Щит учета на ВЛИ-0,4кВ КТП 1380-сеть №2, Северная часть Зареченского района,кад. №71:30:010801:129</t>
  </si>
  <si>
    <t>Прибор учета 3-фазный Меркурий 234 ARTMХ2-01 зав.№ 49483733 - 1 шт.</t>
  </si>
  <si>
    <t>Артеменко Нина Григорьевна, Договор техприсоединения №294-23 от 05.07.2023, Щит учета на ВЛ-0,4 кВ ТП 931 сеть 2, ул. Маяковского, д.17, пом.1, кад. №71:30:070807:1842</t>
  </si>
  <si>
    <t>Прибор учета 3-фазный Меркурий 234 ARTMХ2-01 зав.№ 49485710- 1 шт.</t>
  </si>
  <si>
    <t>Ходакова Галина Викторовна, Договор техприсоединения №106-23 от 24.03.2023, Щит учета на ВЛИ-0,4кВ ТП 610 сеть 1,п.Толстовские дачи, ул. Л.Толстого, д.66, кад№71:30:090201:1370</t>
  </si>
  <si>
    <t>Прибор учета 3-фазный ПСЧ-4ТМ.05МК.24.12 зав.№ 1117231078 - 1 шт.</t>
  </si>
  <si>
    <t>Договор подряда № 334 от 21.08.2023, ООО "Компания Электромонтаж"</t>
  </si>
  <si>
    <t>Волченков Игорь Вячеславович, Договор техприсоединения №26-23 от 20.01.2023, Щит учета на ВЛ-0,4кВ ТП 515, г. Тула, пер. Глушанский, д.6</t>
  </si>
  <si>
    <t>Прибор учета 3-фазный ПСЧ-4ТМ.05МК.20 зав.№ 1119230779 - 1 шт.</t>
  </si>
  <si>
    <t>Коцинян Габриел Арамович, Договор техприсоединения №892-22 от 13.12.2022, Щит учета на ВЛИ-0,4кВ КТП1252 сеть2 ул.Высокая, д.1, кад №71:30:030603:163</t>
  </si>
  <si>
    <t>Прибор учета 3-фазный СЕ307 R34.749.OG зав.№ 012998193270607 - 1 шт.</t>
  </si>
  <si>
    <t>Договор подряда № 288 от 28.07.2023, МЕХКОЛОННА № 26 ООО</t>
  </si>
  <si>
    <t>Мельникова Анастасия Александровна, Договор техприсоединения №118-23 от 31.03.2023, Щит учета на ВЛИ-0,4кВ КТП1252 сеть2 ул.Высокая, д.1-а, кад №71:30:030603:433</t>
  </si>
  <si>
    <t>Прибор учета 3-фазный СЕ307 R34.749.OG зав.№ 012998193270240 - 1 шт.</t>
  </si>
  <si>
    <t>Швецова Елена Евгеньевна, Договор техприсоединения №640-21/3484 от 13.12.2021, Щит учета на ВЛИ-0,4кВ РП 56 с.1 ул. Приупская, д.12-г, СНТ Строитель,уч.92, кад. №71:30:030210:96</t>
  </si>
  <si>
    <t>Прибор учета 3-фазный ПСЧ-4ТМ.05МК.24.01 зав.№ 1113241010 - 1 шт.</t>
  </si>
  <si>
    <t>Аванесян Эрнест Робертович, Договор техприсоединения №58-23 от 15.02.2023, Щит учета на ВЛ-0,4 кВ ТП 641 сеть 1 ул. Вильямса/ул. Панфиловцев, д.19/6, кад. №71:30:030817:130</t>
  </si>
  <si>
    <t>Прибор учета 3-фазный Энергомера CE307 зав.№ 12998193270306 - 1 шт.</t>
  </si>
  <si>
    <t>Туламашзавод АК АО, Договор техприсоединения №77-23 от 03.03.2023, Щит учета на ВЛИ-0,4кВ РП 83 сеть1 ул.Хворостухина, д.11-а, кад №71:30:030805:2127</t>
  </si>
  <si>
    <t>Прибор учета 3-фазный ПСЧ-4ТМ.05МК.22.12 зав.№ 1115230840 - 1 шт.</t>
  </si>
  <si>
    <t>Волкова Светлана Валерьевна, Договор техприсоединения №168-22 от 14.02.2022, Щит учета на ВЛИ-0,4кВ КТП 1488 сеть 2 СТ Центрмаркшейдерия, уч.2 кад. №71:30:080408:91</t>
  </si>
  <si>
    <t>Прибор учета 3-фазный Меркурий 234 зав.№ 49405448 - 1 шт.</t>
  </si>
  <si>
    <t>Чечёткин Андрей Геннадиевич, Договор техприсоединения №686-21/3637 от 24.12.2021, Щит учета на ВЛИ-0,4кВ КТП 1488 сеть 2 СТ Центрмаркшейдерия, уч.12, кад. №71:30:080408:40</t>
  </si>
  <si>
    <t>Прибор учета 3-фазный Меркурий 234 зав.№ 49405462 - 1 шт.</t>
  </si>
  <si>
    <t>Пимашков Сергей Васильевич, Договор техприсоединения №133-22 от 03.02.2022, Щит учета на ВЛИ-0,4кВ КТП 1488 сеть 2 СТ Центрмаркшейдерия, уч.16, кад. №71:30:080408:34</t>
  </si>
  <si>
    <t>Прибор учета 3-фазный Меркурий 234 зав.№ 49405464 - 1 шт.</t>
  </si>
  <si>
    <t>Назаренко Татьяна Викторовна, Договор техприсоединения №666-21/3587 от 20.12.2021, Щит учета на ВЛИ-0,4кВ КТП 1488 сеть 2 СТ Центрмаркшейдерия, уч.12, кад. №71:30:080408:31</t>
  </si>
  <si>
    <t>Прибор учета 3-фазный Меркурий 234 зав.№ 49405456 - 1 шт.</t>
  </si>
  <si>
    <t>Суббота Ростислав Григорьевич, Договор техприсоединения №494-23 от 04.10.2023, Щит учета на ВЛИ-0,4кВ КТП 1380 сеть 1 Северная часть Зареченского района, кад.№71:30:010806:146</t>
  </si>
  <si>
    <t>Прибор учета 3-фазный Меркурий 234 ARTMХ2-02 зав.№ 49834908- 1 шт.</t>
  </si>
  <si>
    <t>Яврян Гаянэ Владимировна, Договор техприсоединения №468-23 от 25.09.2023, Щит учета на ВЛИ-0,4кВ ТП 514 сеть 2 с.Глухие Поляны,кад.№71:14:020815:1579</t>
  </si>
  <si>
    <t>Прибор учета 3-фазный Меркурий 234 ARTMХ2-01 зав.№ 49483668- 1 шт.</t>
  </si>
  <si>
    <t>Договор подряда № 41 от 09.02.2024, МЕХКОЛОННА № 26 ООО</t>
  </si>
  <si>
    <t>Колыванова Инесса Владимировна, Договор техприсоединения №500-23 от 09.10.2023, Щит учета на ВЛИ-0,4кВ КТП 1251 - сеть 1 ул. Синицына, кад.№71:30:030829:431</t>
  </si>
  <si>
    <t>Прибор учета 3-фазный Меркурий 234 ARTMХ2-01 зав.№ 49458536 - 1 шт.</t>
  </si>
  <si>
    <t>Замотина Олеся Николаевна, Договор техприсоединения №513-23 от 16.10.2023, Щит учета на ВЛИ-0,4кВ КТП 1326 - сеть 2 2-й Газовый пр-д, д.39, кад.№71:30:030602:303</t>
  </si>
  <si>
    <t>Прибор учета 3-фазный Меркурий 234 ARTMХ2-01 зав.№ 49458561 - 1 шт.</t>
  </si>
  <si>
    <t>Таланова Татьяна Сергеевна, Договор техприсоединения №596-23 от 30.11.2023, Щит учета на ВЛИ-0,4кВ КТП 1380 сеть2 Северная часть, Зареченского р-на, кад №71:30:010801:134</t>
  </si>
  <si>
    <t>Прибор учета 3-фазный Меркурий 234 ARTMХ2-01 зав.№ 49483774 - 1 шт.</t>
  </si>
  <si>
    <t>Василенко Регина Равилевна, Договор техприсоединения №588-23 от 28.11.2023, Щит учета на ВЛИ-0,4кВ КТП 1380 сеть 1 Северная часть Зареченского р-на, кад.№71:30:010802:192</t>
  </si>
  <si>
    <t>Прибор учета 3-фазный Меркурий 234 ARTMХ2-02 зав.№ 49723693 - 1 шт.</t>
  </si>
  <si>
    <t>Гаева Светлана Николаевна, Договор техприсоединения №673-23 от 22.12.2023, Щит учета на ВЛИ-0,4кВ КТП 1380 сеть2 Северная часть, Зареченского р-на, кад №71:30:010801:138</t>
  </si>
  <si>
    <t>Прибор учета 3-фазный Меркурий 234 ARTMХ2-01 зав.№ 49483751 - 1 шт.</t>
  </si>
  <si>
    <t>Демина Елена Николаевна, Договор техприсоединения №582-23 от 23.11.2023, Щит учета на ВЛИ-0,4кВ КТП 1106 сеть1 ул.Энтузиастов, д.1-В, кад №71:30:060402:531</t>
  </si>
  <si>
    <t>Прибор учета 3-фазный Меркурий 234 ARTMХ2-01 зав.№ 49483694 - 1 шт.</t>
  </si>
  <si>
    <t>Зозулин Александр Михайлович, Договор техприсоединения №689-23 от 28.12.2023, Щит учета на ВЛИ-0,4кВ КТП 1341 сеть 3 Северная часть Зареченского р-на, кад.№71:30:010808:47</t>
  </si>
  <si>
    <t>Прибор учета 3-фазный Меркурий 234 ARTMХ2-02 зав.№ 49723741 - 1 шт.</t>
  </si>
  <si>
    <t>Зеленов Иван Вячеславович, Договор техприсоединения №690-21/3416 от 27.12.2021, Щит учета на ВЛИ-0,4кВ КТП 1254 сеть1,ул.Низинная,33,СНТ"Сад №2 АП Роса", уч100, кад№71:30:060612:78</t>
  </si>
  <si>
    <t>Прибор учета 3-фазный Меркурий 234 ARTMХ2-02 зав.№ 49834903 - 1 шт.</t>
  </si>
  <si>
    <t>Договор подряда № 53 от 10.02.2023, Геоземкадастр ООО</t>
  </si>
  <si>
    <t>Кононенко Сергей Александрович, Договор техприсоединения №4-24 от 11.01.2024, Щит учета на ВЛИ-0,4кВ КТП 1297 сеть 1 Северная часть Зареченского р-на, кад.№71:30:010806:154</t>
  </si>
  <si>
    <t>Прибор учета 3-фазный Меркурий 234 ARTMХ2-01 зав.№ 49483729 - 1 шт.</t>
  </si>
  <si>
    <t>Панин Андрей Сергеевич, Договор техприсоединения №397-23 от 17.08.2023, Щит учета на ВЛИ-0,4кВ ТП 684 сеть 2  ул.Головина/ул.Станиславского, д.12/47, кад.№71:30:050305:0040</t>
  </si>
  <si>
    <t>Прибор учета 3-фазный Меркурий 234 ARTMХ2-01 зав.№ 49503265 - 1 шт.</t>
  </si>
  <si>
    <t>Чивиленкова Наталья Алексеевна, Договор техприсоединения №148-23 от 20.04.2023, Щит учета на ВЛ-0,4кВ ТП 211 сеть 2 ул. Кирова д.73-В, кад №71:30:030112:1300</t>
  </si>
  <si>
    <t>Прибор учета 3-фазный СЕ307 R34.749.OG зав.№ 012998193270455 - 1 шт.</t>
  </si>
  <si>
    <t>Договор подряда № 286 от 25.07.2023, МЕХКОЛОННА № 26 ООО</t>
  </si>
  <si>
    <t>Белолипецкая Татьяна Константиновна, Договор техприсоединения №127-23 от 07.04.2023, Щит учета на ВЛ-0,4 кВ ТП 536 сеть 1, ул. Краснодонцев, д.81</t>
  </si>
  <si>
    <t>Прибор учета 3-фазный СЕ208 S7.846.2.OG зав.№ 12719189713283 - 1 шт.</t>
  </si>
  <si>
    <t>Договор подряда № 289 от 28.07.2023, МЕХКОЛОННА № 26 ООО</t>
  </si>
  <si>
    <t>Ардашев Вадим Владиславович, Договор техприсоединения №171-23 от 05.05.2023, Щит учета на ВЛИ-0,4 кВ КТП 619 сеть 2, п. Восточный, кад №71:00:000000:145716</t>
  </si>
  <si>
    <t>Прибор учета 3-фазный СЕ307 R34.749.OG зав.№ 012998193270328 - 1 шт.</t>
  </si>
  <si>
    <t>Договор подряда № 295 от 31.07.2023, МЕХКОЛОННА № 26 ООО</t>
  </si>
  <si>
    <t>Панкина Татьяна Сергеевна, Договор техприсоединения №532-23 от 30.10.2023, Щит учета на ВЛИ-0,4кВ ТП 253 сеть 4 ГСК №21, гараж 19</t>
  </si>
  <si>
    <t>Сазонова Елена Михайловна, Договор техприсоединения №365-22 от 26.04.2022, Щит учета на ВЛИ-0,4кВ КТП 1306 сеть 2 СНТ Сад 1 Тулагоргаза, уч.44, кад.№71:30:060608:47</t>
  </si>
  <si>
    <t>Прибор учета 3-фазный Меркурий 234 ARTMХ2-02 зав.№ 49405492 - 1 шт.</t>
  </si>
  <si>
    <t>Зайцев Игорь Владимирович, Договор техприсоединения №650-21/3455 от 14.12.2021, Щит учета на ВЛИ-0,4кВ КТП 1306 сеть 3 СТ УКС Горисполкома, уч.34 с кад.№71:30:060610:5</t>
  </si>
  <si>
    <t>Прибор учета 3-фазный Меркурий 234 ARTMХ2-01 зав.№ 49621454 - 1 шт.</t>
  </si>
  <si>
    <t>Завьялов Владимир Юрьевич, Договор техприсоединения №515-22 от 16.06.2022, Щит учета на ВЛИ-0,4кВ КТП 1306 сеть 3 СТ Цирк, уч.16 с кад.№71:30:060609:1</t>
  </si>
  <si>
    <t>Прибор учета 3-фазный Меркурий 234 ARTMХ2-02 зав.№ 49464266 - 1 шт.</t>
  </si>
  <si>
    <t>Синицына Елена Сергеевна, Договор техприсоединения №223-22 от 02.03.2022, Щит учета на ВЛИ-0,4кВ КТП 1306 сеть 3 СТ Цирк, уч.4 с кад.№71:30:060609:11</t>
  </si>
  <si>
    <t>Прибор учета 3-фазный Меркурий 234 ARTMХ2-02 зав.№ 49464235 - 1 шт.</t>
  </si>
  <si>
    <t>Смовж Ольга Владимировна, Договор техприсоединения №659-22 от 22.07.2022, Щит учета на ВЛИ-0,4кВ КТП 1339 сеть 1 СНТ ХОЭМЗ, кад.№71:30:060619:57</t>
  </si>
  <si>
    <t>Прибор учета 3-фазный Меркурий 234 ARTMХ2-01 зав.№ 49865437 - 1 шт.</t>
  </si>
  <si>
    <t>Рожкова Татьяна Сергеевна, Договор техприсоединения №627-22 от 13.07.2022, Щит учета на ВЛИ-0,4кВ КТП 1339 сеть 1 СНТ ХОЭМЗ, кад.№71:30:060619:59</t>
  </si>
  <si>
    <t>Прибор учета 3-фазный Меркурий 234 ARTMХ2-01 зав.№ 49865380 - 1 шт.</t>
  </si>
  <si>
    <t>Буданова Евгения Владимировна, Договор техприсоединения №609-22 от 11.07.2022, Щит учета на ВЛИ-0,4кВ КТП 1339 сеть 1 СНТ ХОЭМЗ, кад.№71:30:060619:67</t>
  </si>
  <si>
    <t>Прибор учета 3-фазный Меркурий 234 ARTMХ2-02 зав.№ 49865425 - 1 шт.</t>
  </si>
  <si>
    <t>Можаева Светлана Александровна, Договор техприсоединения №661-22 от 22.07.2022, Щит учета на ВЛИ-0,4кВ КТП 1339 сеть 3 СНТ ХОЭМЗ, кад.№71:30:060619:198</t>
  </si>
  <si>
    <t>Прибор учета 3-фазный Меркурий 234 ARTMХ2-02 зав.№ 49865430 - 1 шт.</t>
  </si>
  <si>
    <t>Фильчукова Татьяна Александровна, Договор техприсоединения №660-22 от 22.07.2022, Щит учета на ВЛИ-0,4кВ КТП 1339 сеть 3 СНТ ХОЭМЗ, кад.№71:30:060619:79</t>
  </si>
  <si>
    <t>Прибор учета 3-фазный Меркурий 234 ARTMХ2-02 зав.№ 49837076 - 1 шт.</t>
  </si>
  <si>
    <t>Скосарев Евгений Владимирович, Договор техприсоединения №188-22 от 21.02.2022, Щит учета на ВЛИ-0,4кВ КТП 1479 сеть 2 СНТ Строитель, уч. 12, кад. №71:30:060604:105</t>
  </si>
  <si>
    <t>Прибор учета 3-фазный ПСЧ-4ТМ.05МК.20.12 зав.№ 1118231265 - 1 шт.</t>
  </si>
  <si>
    <t>Селезнев Дмитрий Игоревич, Договор техприсоединения №581-22 от 01.07.2022, Щит учета на ВЛИ-0,4кВ КТП 1479 сеть 2 СНТ Строитель, уч. 13-а, кад. №71:30:060604:91</t>
  </si>
  <si>
    <t>Прибор учета 3-фазный Меркурий 234 ARTMХ2-02 зав.№ 48209592 - 1 шт.</t>
  </si>
  <si>
    <t>Ушакова Олеся Александровна, Договор техприсоединения №256-22 от 14.03.2022, Щит учета на ВЛИ-0,4кВ КТП 1479 сеть 2 СНТ Строитель, уч. 14, кад. №71:30:060604:111</t>
  </si>
  <si>
    <t>Прибор учета 3-фазный Меркурий 234 ARTMХ2-02 зав.№ 48099141 - 1 шт.</t>
  </si>
  <si>
    <t>Афанасьев Михаил Сергеевич, Договор техприсоединения №392-22 от 05.05.2022, Щит учета на ВЛИ-0,4кВ КТП 1479 сеть 2 СНТ Строитель, уч. 167, кад. №71:30:060604:52</t>
  </si>
  <si>
    <t>Прибор учета 3-фазный ПСЧ-4ТМ.05МК.20.12 зав.№ 1118231236 - 1 шт.</t>
  </si>
  <si>
    <t>Бурвиков Александр Иванович, Договор техприсоединения №420-22 от 19.05.2022, Щит учета на ВЛИ-0,4кВ КТП 1479 сеть 2 СНТ Строитель, уч. 61вв, кад. №71:30:060604:351</t>
  </si>
  <si>
    <t>Прибор учета 3-фазный Меркурий 234 ARTMХ2-02 зав.№ 49401960 - 1 шт.</t>
  </si>
  <si>
    <t>Пафелина Светлана Викторовна, Договор техприсоединения №194-22 от 22.02.2022, Щит учета на ВЛИ-0,4кВ КТП 1479 сеть 2 СНТ Строитель, уч. 28, кад. №71:30:060604:42</t>
  </si>
  <si>
    <t>Прибор учета 3-фазный Меркурий 234 ARTMХ2-02 зав.№ 48181008 - 1 шт.</t>
  </si>
  <si>
    <t>Крупенко Николай Николаевич, Договор техприсоединения №323-22 от 11.04.2022, Щит учета на ВЛИ-0,4кВ КТП 1479 сеть 2 СНТ Строитель, уч. 27, кад. №71:30:060604:40</t>
  </si>
  <si>
    <t>Прибор учета 3-фазный ПСЧ-4ТМ.05МК.20.12 зав.№ 1118231239 - 1 шт.</t>
  </si>
  <si>
    <t>Бойко Елена Валерьевна, Договор техприсоединения №493-22 от 09.06.2022, Щит учета на ВЛИ-0,4кВ КТП 1479 сеть 2 СНТ Строитель, д.133, кад. №71:30:060604:138</t>
  </si>
  <si>
    <t>Прибор учета 3-фазный Меркурий 234 ARTMХ2-02 зав.№ 49412236 - 1 шт.</t>
  </si>
  <si>
    <t>Чуйко Ирина Васильевна, Договор техприсоединения №358-22 от 22.04.2022_переуступка на Бычкову Е.В., Щит учета на ВЛИ-0,4кВ КТП 1479 сеть 2 СНТ Строитель, уч.111, кад. №71:30:060604:203</t>
  </si>
  <si>
    <t>Прибор учета 3-фазный ПСЧ-4ТМ.05МК.20.12 зав.№ 1118231238 - 1 шт.</t>
  </si>
  <si>
    <t>Богомолов Владимир Владимирович, Договор техприсоединения №324-22 от 11.04.2022, Щит учета на ВЛИ-0,4кВ КТП 1479 сеть 2 СНТ Строитель, уч.76, кад. №71:30:060604:142</t>
  </si>
  <si>
    <t>Прибор учета 3-фазный Меркурий 234 ARTMХ2-02 зав.№ 48181009 - 1 шт.</t>
  </si>
  <si>
    <t>Зименкова Татьяна Ивановна, Договор техприсоединения №276-22 от 22.03.2022, Щит учета на ВЛИ-0,4кВ КТП 1479 сеть 2 СНТ Строитель, уч.61-б, кад. №71:30:060604:136</t>
  </si>
  <si>
    <t>Прибор учета 3-фазный ПСЧ-4ТМ.05МК.20.12 зав.№ 1121230799 - 1 шт.</t>
  </si>
  <si>
    <t>Хромова Людмила Викторовна, Договор техприсоединения №300-22 от 31.03.2022, Щит учета на ВЛИ-0,4кВ КТП 1479 сеть 3 СНТ Строитель, д.31к, кад. №71:30:060604:34</t>
  </si>
  <si>
    <t>Прибор учета 3-фазный ПСЧ-4ТМ.05МК.20.12 зав.№ 118231262 - 1 шт.</t>
  </si>
  <si>
    <t>Степанова Ирина Александровна, Договор техприсоединения №328-22 от 12.04.2022, Щит учета на ВЛИ-0,4кВ КТП 1479 сеть 3 СНТ Строитель, уч.87, кад. №71:30:060604:38</t>
  </si>
  <si>
    <t>Прибор учета 3-фазный Меркурий 234 ARTMХ2-02 зав.№ 48054134 - 1 шт.</t>
  </si>
  <si>
    <t>Макарова Лариса Григорьевна, Договор техприсоединения №566-22 от 28.06.2022, Щит учета на ВЛИ-0,4кВ КТП 1479 сеть 3 СНТ Строитель, д. 132, кад. №71:30:060604:175</t>
  </si>
  <si>
    <t>Прибор учета 3-фазный ПСЧ-4ТМ.05МК.20.12 зав.№ 118231259 - 1 шт.</t>
  </si>
  <si>
    <t>Трояновский Леонид Леонидович, Договор техприсоединения №577-22 от 30.06.2022, Щит учета на ВЛИ-0,4кВ КТП 1479 сеть 3 СНТ Строитель, д.152, кад. №71:30:060604:5</t>
  </si>
  <si>
    <t>Прибор учета 3-фазный Меркурий 234 ARTMХ2-02 зав.№ 48209628 - 1 шт.</t>
  </si>
  <si>
    <t>Буренкова Елена Юрьевна, Договор техприсоединения №575-22 от 30.06.2022, Щит учета на ВЛИ-0,4кВ КТП 1479 сеть 3 СНТ Строитель, уч.144,кад. №71:30:060604:181</t>
  </si>
  <si>
    <t>Прибор учета 3-фазный Меркурий 234 ARTMХ2-02 зав.№ 48180891 - 1 шт.</t>
  </si>
  <si>
    <t>Бычков Андрей Викторович, Договор техприсоединения №352-22 от 20.04.2022, Щит учета на ВЛИ-0,4кВ КТП 1479 сеть 3 СНТ Строитель, уч.155,кад. №71:30:060604:22</t>
  </si>
  <si>
    <t>Прибор учета 3-фазный Меркурий 234 ARTMХ2-02 зав.№ 49401961 - 1 шт.</t>
  </si>
  <si>
    <t>Гросс Наталия Борисовна, Договор техприсоединения №348-22 от 19.04.2022, Щит учета на ВЛИ-0,4кВ КТП 1479 сеть 3 СНТ Строитель,д.178,кад. №71:30:060604:74</t>
  </si>
  <si>
    <t>Прибор учета 3-фазный Меркурий 234 ARTMХ2-02 зав.№ 49401957 - 1 шт.</t>
  </si>
  <si>
    <t>Ананьева Светлана Николаевна, Договор техприсоединения №329-22 от 12.04.2022, Щит учета на ВЛИ-0,4кВ КТП 1479 сеть 3 СНТ Строитель,д.174,кад. №71:30:060604:190</t>
  </si>
  <si>
    <t>Прибор учета 3-фазный Меркурий 234 ARTMХ2-02 зав.№ 49401959 - 1 шт.</t>
  </si>
  <si>
    <t>Порошкова Светлана Дмитриевна, Договор техприсоединения №673-22 от 28.07.2022, Щит учета на ВЛИ-0,4кВ КТП 1479 сеть 3 СНТ Строитель, уч.49,кад. №71:30:060602:28</t>
  </si>
  <si>
    <t>Прибор учета 3-фазный ПСЧ-4ТМ.05МК.20.12 зав.№ 118231226 - 1 шт.</t>
  </si>
  <si>
    <t>Барыхин Николай Владимирович, Договор техприсоединения №494-22 от 09.06.2022, Щит учета на ВЛИ-0,4кВ КТП 1251 сеть 1 СНТ Зеленая роща, уч.4, кад.№71:14:020818:66</t>
  </si>
  <si>
    <t>Прибор учета 3-фазный Меркурий 234 ARTMХ2-01 зав.№ 49490996 - 1 шт.</t>
  </si>
  <si>
    <t>Клементьева Татьяна Владимировна, Договор техприсоединения №615-22 от 12.07.2022, Щит учета на ВЛИ-0,4кВ КТП 1251 сеть 1 СНТ Зеленая роща, уч.5, кад.№71:14:020818:118</t>
  </si>
  <si>
    <t>Прибор учета 3-фазный Меркурий 234 ARTMХ2-01 зав.№ 49490991 - 1 шт.</t>
  </si>
  <si>
    <t>Курицына Раиса Ивановна, Договор техприсоединения №529-22 от 20.06.2022, Щит учета на ВЛИ-0,4кВ КТП 1351 сеть 6 СНТ Зеленая роща, уч.13, кад.№71:14:020818:75</t>
  </si>
  <si>
    <t>Прибор учета 3-фазный Меркурий 234 ARTMХ2-01 зав.№ 45088369 - 1 шт.</t>
  </si>
  <si>
    <t>Иванова Елена Владимировна, Договор техприсоединения №488-22 от 08.06.2022, Щит учета на ВЛИ-0,4кВ КТП 1351 сеть 6 СНТ Зеленая роща, уч.46, кад.№71:14:020818:105</t>
  </si>
  <si>
    <t>Прибор учета 3-фазный Меркурий 234 ARTMХ2-01 зав.№ 45088331 - 1 шт.</t>
  </si>
  <si>
    <t>Гужова Валентина Юрьевна, Договор техприсоединения №688-22 от 04.08.2022, Щит учета на ВЛИ-0,4кВ КТП 1351 сеть 6 СНТ Зеленая роща, уч.43, кад.№71:14:020818:102</t>
  </si>
  <si>
    <t>Прибор учета 3-фазный Меркурий 234 ARTMХ2-01 зав.№ 45088371 - 1 шт.</t>
  </si>
  <si>
    <t>Парфенкова Надежда Александровна, Договор техприсоединения №388-22 от 05.05.2022, Щит учета на ВЛИ-0,4кВ КТП 1351 сеть 6 СНТ Зеленая роща, уч.26, кад.№71:14:020818:124</t>
  </si>
  <si>
    <t>Прибор учета 3-фазный Меркурий 234 ARTMХ2-01 зав.№ 45089152 - 1 шт.</t>
  </si>
  <si>
    <t>Самошенков Александр Геннадьевич, Договор техприсоединения №406-22 от 13.05.2022, Щит учета на ВЛИ-0,4кВ КТП 1351 сеть 6 ул.Лобачевского, д.51, кад.№71:14:020815:238</t>
  </si>
  <si>
    <t>Прибор учета 3-фазный Меркурий 234 ARTMХ2-01 зав.№ 49490993 - 1 шт.</t>
  </si>
  <si>
    <t>Чорноус Дмитрий Владимирович, Договор техприсоединения №515-23 от 17.10.2023, Щит учета на ВЛ-0,4кВ ТП 1405 сеть 3 ул. Набережная, д.9, кад. №71:30:0702801:14</t>
  </si>
  <si>
    <t>Прибор учета 3-фазный Меркурий 234 ARTMХ2-01 зав.№ 49483771 - 1 шт.</t>
  </si>
  <si>
    <t>Найденов Сергей Александрович, Договор техприсоединения №504-23 от 10.10.2023, Щит учета на ВЛИ-0,4кВ ТП 392 сеть 1 ул.Агеева,  кад.№71:30:050304:10197</t>
  </si>
  <si>
    <t>Прибор учета 3-фазный Меркурий 234 ARTMХ2-01 зав.№ 49483754 - 1 шт.</t>
  </si>
  <si>
    <t>Найденов Сергей Александрович, Договор техприсоединения №504-23 от 10.10.2023, Щит учета на ВЛИ-0,4кВ ТП 392 сеть 1 ул.Агеева,  кад.№71:30:050304:10198</t>
  </si>
  <si>
    <t>Прибор учета 3-фазный Меркурий 234 ARTMХ2-01 зав.№ 49483679 - 1 шт.</t>
  </si>
  <si>
    <t>Найденов Сергей Александрович, Договор техприсоединения №504-23 от 10.10.2023, Щит учета на ВЛИ-0,4кВ ТП 392 сеть 1 ул.Агеева,  кад.№71:30:050304:10199</t>
  </si>
  <si>
    <t>Прибор учета 3-фазный Меркурий 234 ARTMХ2-01 зав.№ 49483755 - 1 шт.</t>
  </si>
  <si>
    <t>Байкал майкрофонс ООО, Договор техприсоединения №588-21/3275 от 26.11.2021, Измерительный комплекс в РУ-0,4кВ КТП аб.ООО"Байкал майкрофонс"ул.Щекинская,з/укад.№71:30:020503:308</t>
  </si>
  <si>
    <t>Прибор учета 3-фазный Меркурий 234 ARTMХ2-03 зав.№ 49033424 - 1 шт.</t>
  </si>
  <si>
    <t>ЭКОсервис ООО, Договор техприсоединения №806-22 от 20.10.2022, Измерительный комплекс ТП 273,  ул. 9 Мая,1  ООО ЭКОсервис</t>
  </si>
  <si>
    <t>Прибор учета 3-фазный Меркурий 234 ARTMХ2-03 зав.№ 48384296  - 1 шт.</t>
  </si>
  <si>
    <t>Договор подряда № 327 от 21.08.2023, ООО "Компания Электромонтаж"</t>
  </si>
  <si>
    <t>Автомастер-Сервис ООО, Договор техприсоединения №303-22 от 31.03.2022, Щит учета от КЛ-0,4кВ ТП 68 на з/у ул. Ликбеза, д.39</t>
  </si>
  <si>
    <t>Прибор учета 3-фазный ПСЧ-4ТМ.05МК.16.01 зав.№ 1124220659 - 1 шт.</t>
  </si>
  <si>
    <t>Шаевич Ольга Александровна, Договор техприсоединения №582-22 от 01.07.2022, Щит учета от КЛ-0,4 кВ ТП 962 на зем. уч. ул.9 Мая, кад.№71:30:020401:11803</t>
  </si>
  <si>
    <t>Прибор учета 3-фазный Меркурий 234 ARTMХ2-03 зав.№ 48384391 - 1 шт.</t>
  </si>
  <si>
    <t>Строительное управление Тульского завода стройматериалов ООО, Договор техприсоединения №78-23 от 03.03.2023, Измерительный комплекс КТП1436, Новомосковское ш., д.40-42</t>
  </si>
  <si>
    <t>Прибор учета 3-фазный Меркурий 234 ARTMХ2-03 зав.№ 49161003 - 1 шт.</t>
  </si>
  <si>
    <t>Договор подряда № 437 от 17.11.2023, МЕХКОЛОННА № 26 ООО</t>
  </si>
  <si>
    <t>Тульское объединение ветеринарии ГУ ТО, Договор техприсоединения №198-22 от 24.02.2022, Измерительный комплекс КТП 1490, ул. Железнодорожная, 7-а,уч. с кад.№71:30:010401:21</t>
  </si>
  <si>
    <t>Прибор учета 3-фазный ПСЧ-4ТМ.05МК.04 зав.№ 1118231383 - 1 шт.</t>
  </si>
  <si>
    <t>Алексиевич Сергей Михайлович ИП, Договор техприсоединения №833-22 от 09.11.2022, Щит учета от КЛ-0,4кВ ТП 801 на зем. уч.Театральный переулок, д.1, кад.№71:30:030501:298</t>
  </si>
  <si>
    <t>Прибор учета 3-фазный Меркурий 234 ARTMХ2-03 зав.№ 48354814 - 1 шт.</t>
  </si>
  <si>
    <t>КАТЮША-Т ООО, Договор техприсоединения №55-23 от 14.02.2023, Щит учета от КЛ-0,4кВ ТП 203 на зем уч. ул. Епифанская, кад. №71:30:030103:1907</t>
  </si>
  <si>
    <t>Прибор учета 3-фазный Энергомера CE308 S1.543 зав.№ 12289192704283 - 1 шт.</t>
  </si>
  <si>
    <t>Неустроев Олег Валентинович, Договор техприсоединения №596-22 от 05.07.2022, Щит учета от КЛ-0,4 кВ КТП 1455 ул.5-я Криволученская, з/у кад. №71:30:030303:663</t>
  </si>
  <si>
    <t>Прибор учета 3-фазный Меркурий 234 ARTMХ2-03 зав.№ 49165750 - 1 шт.</t>
  </si>
  <si>
    <t>ИП Гриньковский Валерий Валерьевич, Договор техприсоединения №176-23 от 10.05.2023, Измерительный комплекс КТП 1518 Веневское шоссе, уч. кад. №71:14:020701:4309</t>
  </si>
  <si>
    <t>Прибор учета 3-фазный Меркурий 234 ARTMХ2-03 зав.№ 48920479 - 1 шт.</t>
  </si>
  <si>
    <t>Ахманов Константин Романович, Договор техприсоединения №484-22 от 08.06.2022, Щит учета от КЛ-0,4кВ КТП 1492 ул.Яблочкова, зем.уч.1,в кварт.179-а, знач.под №5, №71:30:030820:391</t>
  </si>
  <si>
    <t>Прибор учета 3-фазный ПСЧ-4ТМ.05МК.04 зав.№ 1122230808 - 1 шт.</t>
  </si>
  <si>
    <t>ГУЗ Тульская областная клиническая больница №2 им. Л.Н.Толстого, Договор техприсоединения №886-22 от 09.12.2022, Измерительный комплекс №1 в ВРУ нежилое здание ул. Демьянова, д.22</t>
  </si>
  <si>
    <t>Прибор учета 3-фазный ПСЧ-4ТМ.05МК.16 зав.№ 1113241853 - 1 шт.</t>
  </si>
  <si>
    <t>Договор подряда № 156 от 02.05.2023, ООО ЭЛЕКТРОН</t>
  </si>
  <si>
    <t>ГУЗ Тульская областная клиническая больница №2 им. Л.Н.Толстого, Договор техприсоединения №886-22 от 09.12.2022, Измерительный комплекс №2 в ВРУ нежилое здание ул. Демьянова, д.22</t>
  </si>
  <si>
    <t>Прибор учета 3-фазный ПСЧ-4ТМ.05МК.16 зав.№ 1113241876 - 1 шт.</t>
  </si>
  <si>
    <t>Управляющая компания "Фермерский рынок" ООО, Договор техприсоединения №198-23 от 22.05.2023, Измерительный комплекс КТП 1519 Веневское шоссе, уч. кад. №71:14:020701:5725</t>
  </si>
  <si>
    <t>Прибор учета 3-фазный Меркурий 234 ARTMХ2-03 зав.№ 49292089 - 1 шт.</t>
  </si>
  <si>
    <t>УСС ГУ ТО, Договор техприсоединения №333-23 от 20.07.2023, Щит учета №1 от КЛ-0,4кВ каб.1 РП ГПТУ на зем. уч.ул. Маяковского, д.49, кад.№71:30:080413:8</t>
  </si>
  <si>
    <t>Прибор учета 3-фазный Меркурий 234 ARTMХ2-3 зав.№ 48375898 - 1 шт.</t>
  </si>
  <si>
    <t>УСС ГУ ТО, Договор техприсоединения №333-23 от 20.07.2023, Щит учета №2 от КЛ-0,4кВ каб.2 РП ГПТУ на зем. уч.ул. Маяковского, д.49, кад.№71:30:080413:8</t>
  </si>
  <si>
    <t>Прибор учета 3-фазный Меркурий 234 ARTMХ2-03 зав.№ 49033904 - 1 шт.</t>
  </si>
  <si>
    <t>Буров Ярослав Сергеевич ИП, Договор техприсоединения №580-21/3259 от 24.11.2021, Щит учета от КЛ-0,4кВ КТП 1283 на зем.уч.Одоевское ш., кад №71:30:020211:5247</t>
  </si>
  <si>
    <t>Прибор учета 3-фазный Меркурий 234 ARTMХ2-03 зав.№ 49266394 - 1 шт.</t>
  </si>
  <si>
    <t>ООО РПК Серый кардинал, Договор техприсоединения №590-23 от 28.11.2023, Щит учета от КЛ-0,4кВ КТП 1283 на зем.уч.Одоевское ш., кад №71:30:020211:5248</t>
  </si>
  <si>
    <t>Прибор учета 3-фазный Меркурий 234 ARTMХ2-03 зав.№ 49266247 - 1 шт.</t>
  </si>
  <si>
    <t>ООО "Логос", Договор техприсоединения №325-23 от 19.07.2023, Щит учета от КЛ-0,4кВ ТП 203 на зем.уч. ул. К. Маркса/пер. Пролетарский, кад. №71:30:030103:1857</t>
  </si>
  <si>
    <t>Прибор учета 3-фазный Меркурий 234 ARTMХ2-03 зав.№ 49515297 - 1 шт.</t>
  </si>
  <si>
    <t>Тульская областная клиническая больница ГУЗ ТО, Договор техприсоединения №617-23 от 06.12.2023, Измерительный комплекс №1 в ВРУ нежилое здание ул.Ф.Энгельса, д.58</t>
  </si>
  <si>
    <t>Прибор учета 3-фазный Меркурий 234 ARTMХ2-03 зав.№ 49266248 - 1 шт.</t>
  </si>
  <si>
    <t>Тульская областная клиническая больница ГУЗ ТО, Договор техприсоединения №617-23 от 06.12.2023, Измерительный комплекс №2 в ВРУ нежилое здание ул. Ф.Энгельса, д.58</t>
  </si>
  <si>
    <t>Прибор учета 3-фазный Меркурий 234 ARTMХ2-03 зав.№ 49266253 - 1 шт.</t>
  </si>
  <si>
    <t>Шаргородская Лия Александровна ИП, Договор техприсоединения №399-23 от 22.08.2023, Измерительный комплекс ТП 530 1с.ш. ул. М.Горького, д.25а</t>
  </si>
  <si>
    <t>Прибор учета 3-фазный Меркурий 234 ARTMХ2-03 зав.№ 49524300 - 1 шт.</t>
  </si>
  <si>
    <t>Шаргородская Лия Александровна ИП, Договор техприсоединения №399-23 от 22.08.2023, Измерительный комплекс ТП 530 2с.ш. ул. М.Горького, д.25а</t>
  </si>
  <si>
    <t>Прибор учета 3-фазный Меркурий 234 ARTMХ2-03 зав.№ 49423852 - 1 шт.</t>
  </si>
  <si>
    <t>Филимонова Инна Валерьевна ИП, Договор техприсоединения №131-23 от 10.04.2023, Щит учетаот КЛ-0,4кВ ТП 274 на зем. уч. ул. Карпова, уч. 92В, кад.№71:30:010503:2839</t>
  </si>
  <si>
    <t>Прибор учета 3-фазный ПСЧ-4ТМ.05МК.16 зав.№ 1113241822 - 1 шт.</t>
  </si>
  <si>
    <t>Государственное учреждение Тульской области "Тульский областной центр реабилитации инвалидов", Договор техприсоединения №2023.117927/570-23 от 15.11.2023, Измерительный комплекс №1 в ВРУ неж. зд. ул.Пузакова, д.36</t>
  </si>
  <si>
    <t>Прибор учета 3-фазный Меркурий 234 ARTMХ2-03 зав.№ 49524299 - 1 шт.</t>
  </si>
  <si>
    <t>Государственное учреждение Тульской области "Тульский областной центр реабилитации инвалидов", Договор техприсоединения №2023.117927/570-23 от 15.11.2023, Измерительный комплекс №2 в ВРУ неж. зд. ул.Пузакова, д.36</t>
  </si>
  <si>
    <t>Прибор учета 3-фазный Меркурий 234 ARTMХ2-03 зав.№ 49524298 - 1 шт.</t>
  </si>
  <si>
    <t>Государственное учреждение Тульской области "Тульский областной центр реабилитации инвалидов", Договор техприсоединения №2023.117927/570-23 от 15.11.2023, Измерительный комплекс в ЩАН неж. зд. ул.Пузакова, д.36</t>
  </si>
  <si>
    <t>Прибор учета 3-фазный Меркурий 234 ARTMХ2-02 зав.№ 49723803 - 1 шт.</t>
  </si>
  <si>
    <t>Удача ООО, Договор техприсоединения №581-23 от 22.11.2023, Измерительный комплекс КТП 1526 Епифанское ш., уч. 28-а, кад.№71:30:030506:711</t>
  </si>
  <si>
    <t>Прибор учета 3-фазный Меркурий 234 ARTMХ2-03 зав.№ 49518065 - 1 шт.</t>
  </si>
  <si>
    <t>Туланефтепродукт ПАО, Договор техприсоединения №456-23 от 19.09.2023, Измерительный комплекс КТП 1530 ул. Рязанская, д.38а, кад.№71:30:050411:8</t>
  </si>
  <si>
    <t>Прибор учета 3-фазный Меркурий 234 ARTMХ2-03 зав.№ 49515359 - 1 шт.</t>
  </si>
  <si>
    <t>Авиатор СЗ ООО, Договор техприсоединения №756-22 от 19.09.2022, Измерительный комплекс №1 (Котельная) 1 СкШ ТП 1498 ул.Чмутова,д.158А, в р-не з/у 71:30:000000:9806</t>
  </si>
  <si>
    <t>Прибор учета 3-фазный Меркурий 234 ARTMХ2-03 зав.№ 48920693 - 1 шт.</t>
  </si>
  <si>
    <t>Авиатор СЗ ООО, Договор техприсоединения №756-22 от 19.09.2022, Измерительный комплекс №2 (Котельная) 2 СкШ ТП 1498 ул.Чмутова,д.158А, в р-не з/у 71:30:000000:9806</t>
  </si>
  <si>
    <t>Прибор учета 3-фазный Меркурий 234 ARTMХ2-03 зав.№ 48920951 - 1 шт.</t>
  </si>
  <si>
    <t>Авиатор СЗ ООО, Договор техприсоединения №756-22 от 19.09.2022, Измерительный комплекс №1 (Дет. сад) 1 СкШ ТП 1499 ул.Чмутова,д.158А, в р-не з/у 71:30:000000:9806</t>
  </si>
  <si>
    <t>Прибор учета 3-фазный Меркурий 234 ARTMХ2-03 зав.№ 48920946 - 1 шт.</t>
  </si>
  <si>
    <t>Авиатор СЗ ООО, Договор техприсоединения №756-22 от 19.09.2022, Измерительный комплекс №2 (Дет. сад) 2 СкШ ТП 1499 ул.Чмутова,д.158А, в р-не з/у 71:30:000000:9806</t>
  </si>
  <si>
    <t>Прибор учета 3-фазный Меркурий 234 ARTMХ2-03 зав.№ 48920387 - 1 шт.</t>
  </si>
  <si>
    <t>ИП Потапов Валерий Михайлович, Договор техприсоединения №236-22 от 09.03.2022, Измерительный комплекс №1 в ВРУ Черниковский пер., д.1А</t>
  </si>
  <si>
    <t>Прибор учета 3-фазный Меркурий 234 ARTMХ2-03 зав.№60554943 - 1 шт.</t>
  </si>
  <si>
    <t>ИП Потапов Валерий Михайлович, Договор техприсоединения №236-22 от 09.03.2022, Измерительный комплекс №2 в ВРУ Черниковский пер., д.1А</t>
  </si>
  <si>
    <t>Прибор учета 3-фазный Меркурий 234 ARTMХ2-03 зав.№50593818  - 1 шт.</t>
  </si>
  <si>
    <t>Приложение N 2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</si>
  <si>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</si>
  <si>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</si>
  <si>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</si>
  <si>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</si>
  <si>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Заместитель генерального директора по реализации и развитию услуг                                                            А.А. Галкин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</si>
  <si>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2024 год </t>
  </si>
  <si>
    <t>об осуществлении технологического присоединения
по договорам, заключенным за период с 01.01.2025 по 31.07.2025</t>
  </si>
  <si>
    <t>о поданных заявках на технологическое присоединение за период с 01.01.2025 по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</si>
</sst>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  <numFmt numFmtId="168" formatCode="0.0"/>
    <numFmt numFmtId="169" formatCode="0.000"/>
    <numFmt numFmtId="170" formatCode="_-* #,##0_$_-;\-* #,##0_$_-;_-* &quot;-&quot;_$_-;_-@_-"/>
    <numFmt numFmtId="171" formatCode="_-* #,##0.00_$_-;\-* #,##0.00_$_-;_-* &quot;-&quot;??_$_-;_-@_-"/>
    <numFmt numFmtId="172" formatCode="&quot;$&quot;#,##0_);[Red]\(&quot;$&quot;#,##0\)"/>
    <numFmt numFmtId="173" formatCode="_-* #,##0.00&quot;$&quot;_-;\-* #,##0.00&quot;$&quot;_-;_-* &quot;-&quot;??&quot;$&quot;_-;_-@_-"/>
    <numFmt numFmtId="174" formatCode="General_)"/>
    <numFmt numFmtId="175" formatCode="_([$€-2]* #,##0.00_);_([$€-2]* \(#,##0.00\);_([$€-2]* &quot;-&quot;??_)"/>
    <numFmt numFmtId="176" formatCode="#,##0_);[Red]\(#,##0\)"/>
    <numFmt numFmtId="177" formatCode="_(* #,##0.00_);_(* \(#,##0.00\);_(* &quot;-&quot;??_);_(@_)"/>
    <numFmt numFmtId="178" formatCode="_-* #,##0.00\ _р_у_б_._-;\-* #,##0.00\ _р_у_б_._-;_-* &quot;-&quot;??\ _р_у_б_._-;_-@_-"/>
    <numFmt numFmtId="179" formatCode="#,##0.0"/>
  </numFmts>
  <fonts count="87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Arial Cyr"/>
      <family val="2"/>
      <charset val="204"/>
    </font>
    <font>
      <sz val="10"/>
      <name val="Arial Cyr"/>
    </font>
    <font>
      <sz val="10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5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8"/>
      <name val="Arial Cyr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10"/>
      <name val="Arial Cyr"/>
      <family val="2"/>
      <charset val="204"/>
    </font>
    <font>
      <u/>
      <sz val="7.7"/>
      <color theme="10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45"/>
      <name val="Arial Cyr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45"/>
      <name val="Arial Cyr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45"/>
      <name val="Arial Cyr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45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18"/>
      <name val="Arial Cyr"/>
      <family val="2"/>
      <charset val="204"/>
    </font>
    <font>
      <sz val="10"/>
      <color rgb="FF00000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color indexed="20"/>
      <name val="Arial Cyr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indexed="22"/>
      <name val="Arial Cyr"/>
      <family val="2"/>
      <charset val="204"/>
    </font>
    <font>
      <sz val="11"/>
      <color indexed="52"/>
      <name val="Calibri"/>
      <family val="2"/>
      <charset val="204"/>
    </font>
    <font>
      <sz val="10"/>
      <color indexed="10"/>
      <name val="Arial Cyr"/>
      <family val="2"/>
      <charset val="204"/>
    </font>
    <font>
      <sz val="8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0"/>
      <color indexed="46"/>
      <name val="Arial Cyr"/>
      <family val="2"/>
      <charset val="204"/>
    </font>
    <font>
      <b/>
      <u/>
      <sz val="12"/>
      <name val="Times New Roman"/>
      <family val="1"/>
      <charset val="204"/>
    </font>
    <font>
      <b/>
      <sz val="12.5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"/>
      <family val="2"/>
      <charset val="204"/>
    </font>
  </fonts>
  <fills count="6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5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60"/>
      </patternFill>
    </fill>
    <fill>
      <patternFill patternType="solid">
        <fgColor indexed="44"/>
      </patternFill>
    </fill>
    <fill>
      <patternFill patternType="solid">
        <fgColor indexed="63"/>
      </patternFill>
    </fill>
    <fill>
      <patternFill patternType="solid">
        <fgColor indexed="11"/>
      </patternFill>
    </fill>
    <fill>
      <patternFill patternType="solid">
        <fgColor indexed="23"/>
      </patternFill>
    </fill>
    <fill>
      <patternFill patternType="solid">
        <fgColor indexed="26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38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35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10"/>
        <bgColor indexed="60"/>
      </patternFill>
    </fill>
    <fill>
      <patternFill patternType="solid">
        <fgColor indexed="26"/>
        <bgColor indexed="9"/>
      </patternFill>
    </fill>
    <fill>
      <patternFill patternType="solid">
        <fgColor indexed="11"/>
        <bgColor indexed="49"/>
      </patternFill>
    </fill>
    <fill>
      <patternFill patternType="solid">
        <fgColor indexed="55"/>
        <bgColor indexed="23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38"/>
      </top>
      <bottom style="double">
        <color indexed="3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8" fillId="2" borderId="0"/>
    <xf numFmtId="0" fontId="8" fillId="0" borderId="1"/>
    <xf numFmtId="0" fontId="9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2" fillId="0" borderId="0"/>
    <xf numFmtId="0" fontId="6" fillId="0" borderId="0"/>
    <xf numFmtId="166" fontId="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20" fillId="0" borderId="0">
      <protection locked="0"/>
    </xf>
    <xf numFmtId="165" fontId="20" fillId="0" borderId="0">
      <protection locked="0"/>
    </xf>
    <xf numFmtId="165" fontId="20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0" fillId="0" borderId="12">
      <protection locked="0"/>
    </xf>
    <xf numFmtId="0" fontId="11" fillId="3" borderId="0" applyNumberFormat="0" applyBorder="0" applyAlignment="0" applyProtection="0"/>
    <xf numFmtId="0" fontId="22" fillId="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22" fillId="6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22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22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22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2" fillId="13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22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6" borderId="0" applyNumberFormat="0" applyBorder="0" applyAlignment="0" applyProtection="0"/>
    <xf numFmtId="0" fontId="22" fillId="1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16" borderId="0" applyNumberFormat="0" applyBorder="0" applyAlignment="0" applyProtection="0"/>
    <xf numFmtId="0" fontId="22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22" fillId="1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22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8" borderId="0" applyNumberFormat="0" applyBorder="0" applyAlignment="0" applyProtection="0"/>
    <xf numFmtId="0" fontId="22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23" fillId="19" borderId="0" applyNumberFormat="0" applyBorder="0" applyAlignment="0" applyProtection="0"/>
    <xf numFmtId="0" fontId="24" fillId="11" borderId="0" applyNumberFormat="0" applyBorder="0" applyAlignment="0" applyProtection="0"/>
    <xf numFmtId="0" fontId="23" fillId="19" borderId="0" applyNumberFormat="0" applyBorder="0" applyAlignment="0" applyProtection="0"/>
    <xf numFmtId="0" fontId="23" fillId="6" borderId="0" applyNumberFormat="0" applyBorder="0" applyAlignment="0" applyProtection="0"/>
    <xf numFmtId="0" fontId="24" fillId="15" borderId="0" applyNumberFormat="0" applyBorder="0" applyAlignment="0" applyProtection="0"/>
    <xf numFmtId="0" fontId="23" fillId="6" borderId="0" applyNumberFormat="0" applyBorder="0" applyAlignment="0" applyProtection="0"/>
    <xf numFmtId="0" fontId="23" fillId="16" borderId="0" applyNumberFormat="0" applyBorder="0" applyAlignment="0" applyProtection="0"/>
    <xf numFmtId="0" fontId="24" fillId="8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4" fillId="11" borderId="0" applyNumberFormat="0" applyBorder="0" applyAlignment="0" applyProtection="0"/>
    <xf numFmtId="0" fontId="23" fillId="22" borderId="0" applyNumberFormat="0" applyBorder="0" applyAlignment="0" applyProtection="0"/>
    <xf numFmtId="0" fontId="23" fillId="4" borderId="0" applyNumberFormat="0" applyBorder="0" applyAlignment="0" applyProtection="0"/>
    <xf numFmtId="0" fontId="24" fillId="6" borderId="0" applyNumberFormat="0" applyBorder="0" applyAlignment="0" applyProtection="0"/>
    <xf numFmtId="0" fontId="23" fillId="4" borderId="0" applyNumberFormat="0" applyBorder="0" applyAlignment="0" applyProtection="0"/>
    <xf numFmtId="17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25" fillId="0" borderId="0"/>
    <xf numFmtId="0" fontId="7" fillId="0" borderId="0"/>
    <xf numFmtId="0" fontId="26" fillId="0" borderId="0"/>
    <xf numFmtId="0" fontId="27" fillId="0" borderId="0"/>
    <xf numFmtId="0" fontId="28" fillId="0" borderId="0"/>
    <xf numFmtId="0" fontId="29" fillId="0" borderId="0" applyNumberFormat="0">
      <alignment horizontal="left"/>
    </xf>
    <xf numFmtId="4" fontId="30" fillId="23" borderId="13" applyNumberFormat="0" applyProtection="0">
      <alignment vertical="center"/>
    </xf>
    <xf numFmtId="4" fontId="31" fillId="23" borderId="13" applyNumberFormat="0" applyProtection="0">
      <alignment vertical="center"/>
    </xf>
    <xf numFmtId="4" fontId="30" fillId="23" borderId="13" applyNumberFormat="0" applyProtection="0">
      <alignment horizontal="left" vertical="center" indent="1"/>
    </xf>
    <xf numFmtId="4" fontId="30" fillId="23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4" fontId="30" fillId="25" borderId="13" applyNumberFormat="0" applyProtection="0">
      <alignment horizontal="right" vertical="center"/>
    </xf>
    <xf numFmtId="4" fontId="30" fillId="26" borderId="13" applyNumberFormat="0" applyProtection="0">
      <alignment horizontal="right" vertical="center"/>
    </xf>
    <xf numFmtId="4" fontId="30" fillId="27" borderId="13" applyNumberFormat="0" applyProtection="0">
      <alignment horizontal="right" vertical="center"/>
    </xf>
    <xf numFmtId="4" fontId="30" fillId="28" borderId="13" applyNumberFormat="0" applyProtection="0">
      <alignment horizontal="right" vertical="center"/>
    </xf>
    <xf numFmtId="4" fontId="30" fillId="29" borderId="13" applyNumberFormat="0" applyProtection="0">
      <alignment horizontal="right" vertical="center"/>
    </xf>
    <xf numFmtId="4" fontId="30" fillId="30" borderId="13" applyNumberFormat="0" applyProtection="0">
      <alignment horizontal="right" vertical="center"/>
    </xf>
    <xf numFmtId="4" fontId="30" fillId="31" borderId="13" applyNumberFormat="0" applyProtection="0">
      <alignment horizontal="right" vertical="center"/>
    </xf>
    <xf numFmtId="4" fontId="30" fillId="32" borderId="13" applyNumberFormat="0" applyProtection="0">
      <alignment horizontal="right" vertical="center"/>
    </xf>
    <xf numFmtId="4" fontId="30" fillId="33" borderId="13" applyNumberFormat="0" applyProtection="0">
      <alignment horizontal="right" vertical="center"/>
    </xf>
    <xf numFmtId="4" fontId="32" fillId="34" borderId="13" applyNumberFormat="0" applyProtection="0">
      <alignment horizontal="left" vertical="center" indent="1"/>
    </xf>
    <xf numFmtId="4" fontId="30" fillId="35" borderId="14" applyNumberFormat="0" applyProtection="0">
      <alignment horizontal="left" vertical="center" indent="1"/>
    </xf>
    <xf numFmtId="4" fontId="33" fillId="36" borderId="0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4" fontId="34" fillId="35" borderId="13" applyNumberFormat="0" applyProtection="0">
      <alignment horizontal="left" vertical="center" indent="1"/>
    </xf>
    <xf numFmtId="4" fontId="34" fillId="37" borderId="13" applyNumberFormat="0" applyProtection="0">
      <alignment horizontal="left" vertical="center" indent="1"/>
    </xf>
    <xf numFmtId="0" fontId="10" fillId="37" borderId="13" applyNumberFormat="0" applyProtection="0">
      <alignment horizontal="left" vertical="center" indent="1"/>
    </xf>
    <xf numFmtId="0" fontId="10" fillId="37" borderId="13" applyNumberFormat="0" applyProtection="0">
      <alignment horizontal="left" vertical="center" indent="1"/>
    </xf>
    <xf numFmtId="0" fontId="10" fillId="38" borderId="13" applyNumberFormat="0" applyProtection="0">
      <alignment horizontal="left" vertical="center" indent="1"/>
    </xf>
    <xf numFmtId="0" fontId="10" fillId="38" borderId="13" applyNumberFormat="0" applyProtection="0">
      <alignment horizontal="left" vertical="center" indent="1"/>
    </xf>
    <xf numFmtId="0" fontId="10" fillId="39" borderId="13" applyNumberFormat="0" applyProtection="0">
      <alignment horizontal="left" vertical="center" indent="1"/>
    </xf>
    <xf numFmtId="0" fontId="10" fillId="39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4" fontId="30" fillId="40" borderId="13" applyNumberFormat="0" applyProtection="0">
      <alignment vertical="center"/>
    </xf>
    <xf numFmtId="4" fontId="31" fillId="40" borderId="13" applyNumberFormat="0" applyProtection="0">
      <alignment vertical="center"/>
    </xf>
    <xf numFmtId="4" fontId="30" fillId="40" borderId="13" applyNumberFormat="0" applyProtection="0">
      <alignment horizontal="left" vertical="center" indent="1"/>
    </xf>
    <xf numFmtId="4" fontId="30" fillId="40" borderId="13" applyNumberFormat="0" applyProtection="0">
      <alignment horizontal="left" vertical="center" indent="1"/>
    </xf>
    <xf numFmtId="4" fontId="30" fillId="35" borderId="13" applyNumberFormat="0" applyProtection="0">
      <alignment horizontal="right" vertical="center"/>
    </xf>
    <xf numFmtId="4" fontId="31" fillId="35" borderId="13" applyNumberFormat="0" applyProtection="0">
      <alignment horizontal="right" vertical="center"/>
    </xf>
    <xf numFmtId="0" fontId="10" fillId="24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0" fontId="10" fillId="24" borderId="13" applyNumberFormat="0" applyProtection="0">
      <alignment horizontal="left" vertical="center" indent="1"/>
    </xf>
    <xf numFmtId="0" fontId="35" fillId="0" borderId="0"/>
    <xf numFmtId="4" fontId="36" fillId="35" borderId="13" applyNumberFormat="0" applyProtection="0">
      <alignment horizontal="right" vertical="center"/>
    </xf>
    <xf numFmtId="0" fontId="23" fillId="41" borderId="0" applyNumberFormat="0" applyBorder="0" applyAlignment="0" applyProtection="0"/>
    <xf numFmtId="0" fontId="24" fillId="42" borderId="0" applyNumberFormat="0" applyBorder="0" applyAlignment="0" applyProtection="0"/>
    <xf numFmtId="0" fontId="23" fillId="41" borderId="0" applyNumberFormat="0" applyBorder="0" applyAlignment="0" applyProtection="0"/>
    <xf numFmtId="0" fontId="23" fillId="43" borderId="0" applyNumberFormat="0" applyBorder="0" applyAlignment="0" applyProtection="0"/>
    <xf numFmtId="0" fontId="24" fillId="15" borderId="0" applyNumberFormat="0" applyBorder="0" applyAlignment="0" applyProtection="0"/>
    <xf numFmtId="0" fontId="23" fillId="43" borderId="0" applyNumberFormat="0" applyBorder="0" applyAlignment="0" applyProtection="0"/>
    <xf numFmtId="0" fontId="23" fillId="44" borderId="0" applyNumberFormat="0" applyBorder="0" applyAlignment="0" applyProtection="0"/>
    <xf numFmtId="0" fontId="24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20" borderId="0" applyNumberFormat="0" applyBorder="0" applyAlignment="0" applyProtection="0"/>
    <xf numFmtId="0" fontId="24" fillId="46" borderId="0" applyNumberFormat="0" applyBorder="0" applyAlignment="0" applyProtection="0"/>
    <xf numFmtId="0" fontId="23" fillId="20" borderId="0" applyNumberFormat="0" applyBorder="0" applyAlignment="0" applyProtection="0"/>
    <xf numFmtId="0" fontId="23" fillId="22" borderId="0" applyNumberFormat="0" applyBorder="0" applyAlignment="0" applyProtection="0"/>
    <xf numFmtId="0" fontId="24" fillId="42" borderId="0" applyNumberFormat="0" applyBorder="0" applyAlignment="0" applyProtection="0"/>
    <xf numFmtId="0" fontId="23" fillId="22" borderId="0" applyNumberFormat="0" applyBorder="0" applyAlignment="0" applyProtection="0"/>
    <xf numFmtId="0" fontId="23" fillId="47" borderId="0" applyNumberFormat="0" applyBorder="0" applyAlignment="0" applyProtection="0"/>
    <xf numFmtId="0" fontId="24" fillId="15" borderId="0" applyNumberFormat="0" applyBorder="0" applyAlignment="0" applyProtection="0"/>
    <xf numFmtId="0" fontId="23" fillId="47" borderId="0" applyNumberFormat="0" applyBorder="0" applyAlignment="0" applyProtection="0"/>
    <xf numFmtId="174" fontId="37" fillId="0" borderId="15">
      <protection locked="0"/>
    </xf>
    <xf numFmtId="0" fontId="38" fillId="12" borderId="16" applyNumberFormat="0" applyAlignment="0" applyProtection="0"/>
    <xf numFmtId="0" fontId="39" fillId="6" borderId="17" applyNumberFormat="0" applyAlignment="0" applyProtection="0"/>
    <xf numFmtId="0" fontId="38" fillId="12" borderId="16" applyNumberFormat="0" applyAlignment="0" applyProtection="0"/>
    <xf numFmtId="0" fontId="40" fillId="48" borderId="13" applyNumberFormat="0" applyAlignment="0" applyProtection="0"/>
    <xf numFmtId="0" fontId="41" fillId="10" borderId="18" applyNumberFormat="0" applyAlignment="0" applyProtection="0"/>
    <xf numFmtId="0" fontId="40" fillId="48" borderId="13" applyNumberFormat="0" applyAlignment="0" applyProtection="0"/>
    <xf numFmtId="0" fontId="42" fillId="48" borderId="16" applyNumberFormat="0" applyAlignment="0" applyProtection="0"/>
    <xf numFmtId="0" fontId="43" fillId="10" borderId="17" applyNumberFormat="0" applyAlignment="0" applyProtection="0"/>
    <xf numFmtId="0" fontId="42" fillId="48" borderId="16" applyNumberFormat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Border="0">
      <alignment horizontal="center" vertical="center" wrapText="1"/>
    </xf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0" fontId="46" fillId="0" borderId="19" applyNumberFormat="0" applyFill="0" applyAlignment="0" applyProtection="0"/>
    <xf numFmtId="0" fontId="48" fillId="0" borderId="21" applyNumberFormat="0" applyFill="0" applyAlignment="0" applyProtection="0"/>
    <xf numFmtId="0" fontId="49" fillId="0" borderId="22" applyNumberFormat="0" applyFill="0" applyAlignment="0" applyProtection="0"/>
    <xf numFmtId="0" fontId="48" fillId="0" borderId="21" applyNumberFormat="0" applyFill="0" applyAlignment="0" applyProtection="0"/>
    <xf numFmtId="0" fontId="50" fillId="0" borderId="23" applyNumberFormat="0" applyFill="0" applyAlignment="0" applyProtection="0"/>
    <xf numFmtId="0" fontId="51" fillId="0" borderId="24" applyNumberFormat="0" applyFill="0" applyAlignment="0" applyProtection="0"/>
    <xf numFmtId="0" fontId="50" fillId="0" borderId="23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25" applyBorder="0">
      <alignment horizontal="center" vertical="center" wrapText="1"/>
    </xf>
    <xf numFmtId="174" fontId="53" fillId="49" borderId="15"/>
    <xf numFmtId="4" fontId="54" fillId="23" borderId="7" applyBorder="0">
      <alignment horizontal="right"/>
    </xf>
    <xf numFmtId="0" fontId="55" fillId="0" borderId="26" applyNumberFormat="0" applyFill="0" applyAlignment="0" applyProtection="0"/>
    <xf numFmtId="0" fontId="41" fillId="0" borderId="27" applyNumberFormat="0" applyFill="0" applyAlignment="0" applyProtection="0"/>
    <xf numFmtId="0" fontId="55" fillId="0" borderId="26" applyNumberFormat="0" applyFill="0" applyAlignment="0" applyProtection="0"/>
    <xf numFmtId="0" fontId="56" fillId="50" borderId="28" applyNumberFormat="0" applyAlignment="0" applyProtection="0"/>
    <xf numFmtId="0" fontId="57" fillId="21" borderId="29" applyNumberFormat="0" applyAlignment="0" applyProtection="0"/>
    <xf numFmtId="0" fontId="56" fillId="50" borderId="28" applyNumberFormat="0" applyAlignment="0" applyProtection="0"/>
    <xf numFmtId="0" fontId="58" fillId="0" borderId="0">
      <alignment horizontal="center" vertical="top" wrapText="1"/>
    </xf>
    <xf numFmtId="0" fontId="59" fillId="0" borderId="0">
      <alignment horizontal="centerContinuous" vertical="center" wrapText="1"/>
    </xf>
    <xf numFmtId="0" fontId="60" fillId="51" borderId="0" applyFill="0">
      <alignment wrapText="1"/>
    </xf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46" borderId="0" applyNumberFormat="0" applyBorder="0" applyAlignment="0" applyProtection="0"/>
    <xf numFmtId="0" fontId="64" fillId="18" borderId="0" applyNumberFormat="0" applyBorder="0" applyAlignment="0" applyProtection="0"/>
    <xf numFmtId="0" fontId="63" fillId="46" borderId="0" applyNumberFormat="0" applyBorder="0" applyAlignment="0" applyProtection="0"/>
    <xf numFmtId="0" fontId="9" fillId="0" borderId="0"/>
    <xf numFmtId="175" fontId="9" fillId="0" borderId="0"/>
    <xf numFmtId="0" fontId="65" fillId="0" borderId="0" applyNumberFormat="0" applyFont="0" applyBorder="0" applyProtection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9" fillId="0" borderId="0"/>
    <xf numFmtId="0" fontId="65" fillId="0" borderId="0" applyNumberFormat="0" applyBorder="0" applyProtection="0"/>
    <xf numFmtId="0" fontId="1" fillId="0" borderId="0"/>
    <xf numFmtId="0" fontId="1" fillId="0" borderId="0"/>
    <xf numFmtId="0" fontId="1" fillId="0" borderId="0"/>
    <xf numFmtId="0" fontId="9" fillId="0" borderId="0"/>
    <xf numFmtId="0" fontId="26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2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68" fillId="0" borderId="0" applyNumberFormat="0" applyFont="0" applyBorder="0" applyProtection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69" fillId="5" borderId="0" applyNumberFormat="0" applyBorder="0" applyAlignment="0" applyProtection="0"/>
    <xf numFmtId="0" fontId="70" fillId="52" borderId="0" applyNumberFormat="0" applyBorder="0" applyAlignment="0" applyProtection="0"/>
    <xf numFmtId="0" fontId="69" fillId="5" borderId="0" applyNumberFormat="0" applyBorder="0" applyAlignment="0" applyProtection="0"/>
    <xf numFmtId="168" fontId="71" fillId="23" borderId="30" applyNumberFormat="0" applyBorder="0" applyAlignment="0">
      <alignment vertical="center"/>
      <protection locked="0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0" fillId="18" borderId="17" applyNumberFormat="0" applyFont="0" applyAlignment="0" applyProtection="0"/>
    <xf numFmtId="0" fontId="10" fillId="18" borderId="16" applyNumberFormat="0" applyFont="0" applyAlignment="0" applyProtection="0"/>
    <xf numFmtId="0" fontId="10" fillId="18" borderId="17" applyNumberFormat="0" applyFont="0" applyAlignment="0" applyProtection="0"/>
    <xf numFmtId="0" fontId="9" fillId="18" borderId="17" applyNumberFormat="0" applyFont="0" applyAlignment="0" applyProtection="0"/>
    <xf numFmtId="0" fontId="10" fillId="18" borderId="17" applyNumberFormat="0" applyFon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4" fillId="0" borderId="31" applyNumberFormat="0" applyFill="0" applyAlignment="0" applyProtection="0"/>
    <xf numFmtId="0" fontId="75" fillId="0" borderId="32" applyNumberFormat="0" applyFill="0" applyAlignment="0" applyProtection="0"/>
    <xf numFmtId="0" fontId="74" fillId="0" borderId="31" applyNumberFormat="0" applyFill="0" applyAlignment="0" applyProtection="0"/>
    <xf numFmtId="0" fontId="6" fillId="0" borderId="0"/>
    <xf numFmtId="0" fontId="6" fillId="0" borderId="0"/>
    <xf numFmtId="176" fontId="76" fillId="0" borderId="0">
      <alignment vertical="top"/>
    </xf>
    <xf numFmtId="0" fontId="6" fillId="0" borderId="0"/>
    <xf numFmtId="176" fontId="76" fillId="0" borderId="0">
      <alignment vertical="top"/>
    </xf>
    <xf numFmtId="0" fontId="7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9" fontId="60" fillId="0" borderId="0">
      <alignment horizontal="center"/>
    </xf>
    <xf numFmtId="164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4" fontId="66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78" fontId="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" fontId="54" fillId="51" borderId="0" applyBorder="0">
      <alignment horizontal="right"/>
    </xf>
    <xf numFmtId="4" fontId="54" fillId="53" borderId="33" applyBorder="0">
      <alignment horizontal="right"/>
    </xf>
    <xf numFmtId="4" fontId="54" fillId="51" borderId="7" applyFont="0" applyBorder="0">
      <alignment horizontal="right"/>
    </xf>
    <xf numFmtId="0" fontId="79" fillId="7" borderId="0" applyNumberFormat="0" applyBorder="0" applyAlignment="0" applyProtection="0"/>
    <xf numFmtId="0" fontId="80" fillId="8" borderId="0" applyNumberFormat="0" applyBorder="0" applyAlignment="0" applyProtection="0"/>
    <xf numFmtId="0" fontId="79" fillId="7" borderId="0" applyNumberFormat="0" applyBorder="0" applyAlignment="0" applyProtection="0"/>
    <xf numFmtId="165" fontId="20" fillId="0" borderId="0">
      <protection locked="0"/>
    </xf>
    <xf numFmtId="0" fontId="55" fillId="0" borderId="26" applyNumberFormat="0" applyFill="0" applyAlignment="0" applyProtection="0"/>
    <xf numFmtId="0" fontId="38" fillId="54" borderId="16" applyNumberFormat="0" applyAlignment="0" applyProtection="0"/>
    <xf numFmtId="0" fontId="55" fillId="0" borderId="26" applyNumberFormat="0" applyFill="0" applyAlignment="0" applyProtection="0"/>
    <xf numFmtId="0" fontId="69" fillId="55" borderId="0" applyNumberFormat="0" applyBorder="0" applyAlignment="0" applyProtection="0"/>
    <xf numFmtId="0" fontId="23" fillId="56" borderId="0" applyNumberFormat="0" applyBorder="0" applyAlignment="0" applyProtection="0"/>
    <xf numFmtId="0" fontId="69" fillId="55" borderId="0" applyNumberFormat="0" applyBorder="0" applyAlignment="0" applyProtection="0"/>
    <xf numFmtId="0" fontId="6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0" fillId="57" borderId="17" applyNumberFormat="0" applyAlignment="0" applyProtection="0"/>
    <xf numFmtId="0" fontId="46" fillId="0" borderId="19" applyNumberFormat="0" applyFill="0" applyAlignment="0" applyProtection="0"/>
    <xf numFmtId="0" fontId="10" fillId="57" borderId="17" applyNumberFormat="0" applyAlignment="0" applyProtection="0"/>
    <xf numFmtId="0" fontId="23" fillId="58" borderId="0" applyNumberFormat="0" applyBorder="0" applyAlignment="0" applyProtection="0"/>
    <xf numFmtId="0" fontId="74" fillId="0" borderId="31" applyNumberFormat="0" applyFill="0" applyAlignment="0" applyProtection="0"/>
    <xf numFmtId="0" fontId="56" fillId="59" borderId="28" applyNumberFormat="0" applyAlignment="0" applyProtection="0"/>
    <xf numFmtId="0" fontId="77" fillId="0" borderId="0" applyNumberForma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justify"/>
    </xf>
    <xf numFmtId="0" fontId="4" fillId="0" borderId="0" xfId="0" applyFont="1"/>
    <xf numFmtId="0" fontId="5" fillId="0" borderId="0" xfId="1" applyAlignment="1" applyProtection="1"/>
    <xf numFmtId="0" fontId="12" fillId="0" borderId="0" xfId="15" applyFont="1" applyAlignment="1">
      <alignment horizontal="left"/>
    </xf>
    <xf numFmtId="0" fontId="3" fillId="0" borderId="0" xfId="15" applyFont="1" applyAlignment="1">
      <alignment horizontal="left"/>
    </xf>
    <xf numFmtId="0" fontId="13" fillId="0" borderId="0" xfId="15" applyFont="1" applyAlignment="1">
      <alignment horizontal="left"/>
    </xf>
    <xf numFmtId="0" fontId="14" fillId="0" borderId="0" xfId="15" applyFont="1" applyAlignment="1">
      <alignment horizontal="left"/>
    </xf>
    <xf numFmtId="0" fontId="14" fillId="0" borderId="0" xfId="15" applyFont="1" applyAlignment="1">
      <alignment horizontal="center"/>
    </xf>
    <xf numFmtId="0" fontId="12" fillId="0" borderId="0" xfId="15" applyFont="1" applyAlignment="1">
      <alignment horizontal="left" vertical="top" wrapText="1"/>
    </xf>
    <xf numFmtId="0" fontId="13" fillId="0" borderId="0" xfId="15" applyFont="1" applyAlignment="1">
      <alignment horizontal="left" wrapText="1"/>
    </xf>
    <xf numFmtId="0" fontId="12" fillId="0" borderId="0" xfId="15" applyFont="1" applyAlignment="1">
      <alignment horizontal="center" vertical="center" wrapText="1"/>
    </xf>
    <xf numFmtId="0" fontId="12" fillId="0" borderId="0" xfId="15" applyFont="1" applyAlignment="1">
      <alignment horizontal="center" vertical="top"/>
    </xf>
    <xf numFmtId="167" fontId="12" fillId="0" borderId="0" xfId="15" applyNumberFormat="1" applyFont="1" applyAlignment="1">
      <alignment horizontal="center" vertical="top"/>
    </xf>
    <xf numFmtId="4" fontId="9" fillId="0" borderId="0" xfId="15" applyNumberFormat="1"/>
    <xf numFmtId="0" fontId="10" fillId="0" borderId="0" xfId="15" applyFont="1"/>
    <xf numFmtId="0" fontId="9" fillId="0" borderId="0" xfId="15"/>
    <xf numFmtId="0" fontId="16" fillId="0" borderId="0" xfId="15" applyFont="1" applyAlignment="1">
      <alignment horizontal="left"/>
    </xf>
    <xf numFmtId="0" fontId="17" fillId="0" borderId="7" xfId="0" applyFont="1" applyBorder="1" applyAlignment="1">
      <alignment horizontal="center" vertical="center" wrapText="1"/>
    </xf>
    <xf numFmtId="167" fontId="17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179" fontId="17" fillId="0" borderId="7" xfId="0" applyNumberFormat="1" applyFont="1" applyBorder="1" applyAlignment="1">
      <alignment horizontal="center" vertical="center" wrapText="1"/>
    </xf>
    <xf numFmtId="0" fontId="10" fillId="0" borderId="0" xfId="245"/>
    <xf numFmtId="169" fontId="3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17" fillId="0" borderId="7" xfId="0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7" xfId="0" applyFont="1" applyBorder="1" applyAlignment="1">
      <alignment horizontal="left"/>
    </xf>
    <xf numFmtId="0" fontId="17" fillId="0" borderId="7" xfId="0" applyFont="1" applyBorder="1"/>
    <xf numFmtId="0" fontId="17" fillId="0" borderId="7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3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center" wrapText="1"/>
    </xf>
    <xf numFmtId="49" fontId="17" fillId="0" borderId="7" xfId="0" applyNumberFormat="1" applyFont="1" applyBorder="1" applyAlignment="1">
      <alignment horizontal="center" vertical="center" wrapText="1"/>
    </xf>
    <xf numFmtId="0" fontId="85" fillId="0" borderId="0" xfId="0" applyFont="1" applyAlignment="1">
      <alignment horizontal="center" vertical="center" wrapText="1"/>
    </xf>
    <xf numFmtId="0" fontId="85" fillId="0" borderId="0" xfId="0" applyFont="1" applyAlignment="1">
      <alignment horizontal="left" vertical="center" wrapText="1"/>
    </xf>
    <xf numFmtId="0" fontId="85" fillId="0" borderId="7" xfId="0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9" fontId="17" fillId="0" borderId="7" xfId="0" applyNumberFormat="1" applyFont="1" applyBorder="1" applyAlignment="1">
      <alignment horizontal="center" vertical="center" wrapText="1"/>
    </xf>
    <xf numFmtId="169" fontId="3" fillId="0" borderId="34" xfId="0" applyNumberFormat="1" applyFont="1" applyBorder="1" applyAlignment="1">
      <alignment horizontal="center" vertical="center" wrapText="1"/>
    </xf>
    <xf numFmtId="0" fontId="85" fillId="0" borderId="7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 wrapText="1"/>
    </xf>
    <xf numFmtId="4" fontId="3" fillId="0" borderId="0" xfId="0" applyNumberFormat="1" applyFont="1"/>
    <xf numFmtId="0" fontId="84" fillId="0" borderId="7" xfId="0" applyFont="1" applyBorder="1" applyAlignment="1">
      <alignment horizontal="center" vertical="center" wrapText="1"/>
    </xf>
    <xf numFmtId="4" fontId="17" fillId="0" borderId="7" xfId="0" applyNumberFormat="1" applyFont="1" applyBorder="1" applyAlignment="1">
      <alignment horizontal="center" vertical="center" wrapText="1"/>
    </xf>
    <xf numFmtId="3" fontId="17" fillId="0" borderId="7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top" wrapText="1"/>
    </xf>
    <xf numFmtId="1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6" xfId="0" applyFont="1" applyBorder="1" applyAlignment="1">
      <alignment vertical="center" wrapText="1"/>
    </xf>
    <xf numFmtId="3" fontId="3" fillId="0" borderId="34" xfId="0" applyNumberFormat="1" applyFont="1" applyBorder="1" applyAlignment="1">
      <alignment horizontal="center" vertical="center" wrapText="1"/>
    </xf>
    <xf numFmtId="168" fontId="3" fillId="0" borderId="34" xfId="0" applyNumberFormat="1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left" wrapText="1"/>
    </xf>
    <xf numFmtId="169" fontId="3" fillId="0" borderId="39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168" fontId="3" fillId="0" borderId="7" xfId="0" applyNumberFormat="1" applyFont="1" applyBorder="1" applyAlignment="1">
      <alignment horizontal="center" vertical="center" wrapText="1"/>
    </xf>
    <xf numFmtId="168" fontId="3" fillId="0" borderId="34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167" fontId="17" fillId="0" borderId="7" xfId="0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17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/>
    <xf numFmtId="0" fontId="3" fillId="0" borderId="7" xfId="0" applyFont="1" applyFill="1" applyBorder="1" applyAlignment="1">
      <alignment horizontal="left"/>
    </xf>
    <xf numFmtId="0" fontId="17" fillId="0" borderId="7" xfId="0" applyFont="1" applyFill="1" applyBorder="1"/>
    <xf numFmtId="0" fontId="17" fillId="0" borderId="4" xfId="0" applyFont="1" applyFill="1" applyBorder="1" applyAlignment="1">
      <alignment horizontal="left"/>
    </xf>
    <xf numFmtId="0" fontId="3" fillId="0" borderId="36" xfId="0" applyFont="1" applyFill="1" applyBorder="1" applyAlignment="1">
      <alignment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/>
    </xf>
    <xf numFmtId="3" fontId="17" fillId="0" borderId="7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0" fillId="0" borderId="0" xfId="0" applyFill="1"/>
    <xf numFmtId="2" fontId="3" fillId="0" borderId="7" xfId="0" applyNumberFormat="1" applyFont="1" applyFill="1" applyBorder="1" applyAlignment="1">
      <alignment horizontal="left" wrapText="1"/>
    </xf>
    <xf numFmtId="169" fontId="3" fillId="0" borderId="7" xfId="0" applyNumberFormat="1" applyFont="1" applyFill="1" applyBorder="1" applyAlignment="1">
      <alignment horizontal="center" vertical="center" wrapText="1"/>
    </xf>
    <xf numFmtId="3" fontId="3" fillId="0" borderId="34" xfId="0" applyNumberFormat="1" applyFont="1" applyFill="1" applyBorder="1" applyAlignment="1">
      <alignment horizontal="center" vertical="center" wrapText="1"/>
    </xf>
    <xf numFmtId="167" fontId="3" fillId="0" borderId="39" xfId="0" applyNumberFormat="1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86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179" fontId="17" fillId="0" borderId="7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/>
    </xf>
    <xf numFmtId="167" fontId="3" fillId="0" borderId="34" xfId="0" applyNumberFormat="1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horizontal="left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0" fontId="85" fillId="0" borderId="0" xfId="0" applyFont="1" applyFill="1" applyBorder="1" applyAlignment="1">
      <alignment horizontal="center" vertical="center" wrapText="1"/>
    </xf>
    <xf numFmtId="0" fontId="85" fillId="0" borderId="0" xfId="0" applyFont="1" applyFill="1" applyBorder="1" applyAlignment="1">
      <alignment horizontal="left" vertical="center" wrapText="1"/>
    </xf>
    <xf numFmtId="49" fontId="17" fillId="0" borderId="1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17" fillId="0" borderId="7" xfId="0" applyNumberFormat="1" applyFont="1" applyFill="1" applyBorder="1" applyAlignment="1">
      <alignment horizontal="center" vertical="center" wrapText="1"/>
    </xf>
    <xf numFmtId="0" fontId="85" fillId="0" borderId="7" xfId="0" applyFont="1" applyFill="1" applyBorder="1" applyAlignment="1">
      <alignment horizontal="center" vertical="center" wrapText="1"/>
    </xf>
    <xf numFmtId="0" fontId="85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2" fontId="10" fillId="0" borderId="0" xfId="245" applyNumberFormat="1"/>
    <xf numFmtId="0" fontId="3" fillId="0" borderId="0" xfId="0" applyFont="1" applyFill="1" applyAlignment="1">
      <alignment horizontal="center" vertical="center" wrapText="1"/>
    </xf>
    <xf numFmtId="169" fontId="17" fillId="0" borderId="7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/>
    <xf numFmtId="0" fontId="17" fillId="0" borderId="7" xfId="0" applyFont="1" applyFill="1" applyBorder="1" applyAlignment="1">
      <alignment horizontal="left"/>
    </xf>
    <xf numFmtId="167" fontId="3" fillId="0" borderId="7" xfId="0" applyNumberFormat="1" applyFont="1" applyFill="1" applyBorder="1" applyAlignment="1">
      <alignment horizontal="center" vertical="center"/>
    </xf>
    <xf numFmtId="168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8" fontId="17" fillId="0" borderId="4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/>
    <xf numFmtId="169" fontId="3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left" vertical="top" wrapText="1"/>
    </xf>
    <xf numFmtId="0" fontId="85" fillId="0" borderId="3" xfId="0" applyFont="1" applyFill="1" applyBorder="1" applyAlignment="1">
      <alignment horizontal="center" vertical="center" wrapText="1"/>
    </xf>
    <xf numFmtId="0" fontId="85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168" fontId="3" fillId="0" borderId="39" xfId="0" applyNumberFormat="1" applyFont="1" applyFill="1" applyBorder="1" applyAlignment="1">
      <alignment horizontal="center" vertical="center" wrapText="1"/>
    </xf>
    <xf numFmtId="0" fontId="14" fillId="0" borderId="0" xfId="15" applyFont="1" applyAlignment="1">
      <alignment horizontal="center"/>
    </xf>
    <xf numFmtId="0" fontId="8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17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4" fontId="10" fillId="0" borderId="0" xfId="245" applyNumberFormat="1"/>
    <xf numFmtId="0" fontId="10" fillId="0" borderId="0" xfId="245" applyAlignment="1">
      <alignment horizontal="center"/>
    </xf>
    <xf numFmtId="0" fontId="12" fillId="0" borderId="0" xfId="15" applyFont="1" applyAlignment="1">
      <alignment horizontal="left" vertical="top" wrapText="1"/>
    </xf>
    <xf numFmtId="0" fontId="13" fillId="0" borderId="0" xfId="15" applyFont="1" applyAlignment="1">
      <alignment horizontal="left" wrapText="1"/>
    </xf>
    <xf numFmtId="0" fontId="14" fillId="0" borderId="0" xfId="15" applyFont="1" applyAlignment="1">
      <alignment horizontal="center"/>
    </xf>
    <xf numFmtId="0" fontId="14" fillId="0" borderId="0" xfId="15" applyFont="1" applyAlignment="1">
      <alignment horizontal="center" wrapText="1"/>
    </xf>
    <xf numFmtId="0" fontId="12" fillId="0" borderId="2" xfId="15" applyFont="1" applyBorder="1" applyAlignment="1">
      <alignment horizontal="center" vertical="center"/>
    </xf>
    <xf numFmtId="0" fontId="12" fillId="0" borderId="3" xfId="15" applyFont="1" applyBorder="1" applyAlignment="1">
      <alignment horizontal="center" vertical="center"/>
    </xf>
    <xf numFmtId="0" fontId="12" fillId="0" borderId="4" xfId="15" applyFont="1" applyBorder="1" applyAlignment="1">
      <alignment horizontal="center" vertical="center" wrapText="1"/>
    </xf>
    <xf numFmtId="0" fontId="12" fillId="0" borderId="2" xfId="15" applyFont="1" applyBorder="1" applyAlignment="1">
      <alignment horizontal="center" vertical="center" wrapText="1"/>
    </xf>
    <xf numFmtId="0" fontId="12" fillId="0" borderId="3" xfId="15" applyFont="1" applyBorder="1" applyAlignment="1">
      <alignment horizontal="center" vertical="center" wrapText="1"/>
    </xf>
    <xf numFmtId="49" fontId="12" fillId="0" borderId="2" xfId="15" applyNumberFormat="1" applyFont="1" applyBorder="1" applyAlignment="1">
      <alignment horizontal="center" vertical="top"/>
    </xf>
    <xf numFmtId="0" fontId="12" fillId="0" borderId="2" xfId="15" applyFont="1" applyBorder="1" applyAlignment="1">
      <alignment horizontal="left" vertical="top" wrapText="1"/>
    </xf>
    <xf numFmtId="0" fontId="12" fillId="0" borderId="4" xfId="15" applyFont="1" applyBorder="1" applyAlignment="1">
      <alignment horizontal="center" vertical="top"/>
    </xf>
    <xf numFmtId="0" fontId="12" fillId="0" borderId="2" xfId="15" applyFont="1" applyBorder="1" applyAlignment="1">
      <alignment horizontal="center" vertical="top"/>
    </xf>
    <xf numFmtId="0" fontId="12" fillId="0" borderId="3" xfId="15" applyFont="1" applyBorder="1" applyAlignment="1">
      <alignment horizontal="center" vertical="top"/>
    </xf>
    <xf numFmtId="4" fontId="12" fillId="0" borderId="4" xfId="15" applyNumberFormat="1" applyFont="1" applyBorder="1" applyAlignment="1">
      <alignment horizontal="center" vertical="top"/>
    </xf>
    <xf numFmtId="4" fontId="12" fillId="0" borderId="2" xfId="15" applyNumberFormat="1" applyFont="1" applyBorder="1" applyAlignment="1">
      <alignment horizontal="center" vertical="top"/>
    </xf>
    <xf numFmtId="4" fontId="12" fillId="0" borderId="3" xfId="15" applyNumberFormat="1" applyFont="1" applyBorder="1" applyAlignment="1">
      <alignment horizontal="center" vertical="top"/>
    </xf>
    <xf numFmtId="167" fontId="12" fillId="0" borderId="4" xfId="15" applyNumberFormat="1" applyFont="1" applyBorder="1" applyAlignment="1">
      <alignment horizontal="right" vertical="top"/>
    </xf>
    <xf numFmtId="167" fontId="12" fillId="0" borderId="2" xfId="15" applyNumberFormat="1" applyFont="1" applyBorder="1" applyAlignment="1">
      <alignment horizontal="right" vertical="top"/>
    </xf>
    <xf numFmtId="167" fontId="12" fillId="0" borderId="3" xfId="15" applyNumberFormat="1" applyFont="1" applyBorder="1" applyAlignment="1">
      <alignment horizontal="right" vertical="top"/>
    </xf>
    <xf numFmtId="0" fontId="12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2" fontId="12" fillId="0" borderId="7" xfId="0" applyNumberFormat="1" applyFont="1" applyBorder="1" applyAlignment="1">
      <alignment horizontal="center" vertical="center" wrapText="1"/>
    </xf>
    <xf numFmtId="0" fontId="12" fillId="0" borderId="5" xfId="15" applyFont="1" applyBorder="1" applyAlignment="1">
      <alignment horizontal="center" vertical="center" wrapText="1"/>
    </xf>
    <xf numFmtId="0" fontId="12" fillId="0" borderId="6" xfId="15" applyFont="1" applyBorder="1" applyAlignment="1">
      <alignment horizontal="center" vertical="center" wrapText="1"/>
    </xf>
    <xf numFmtId="0" fontId="12" fillId="0" borderId="8" xfId="15" applyFont="1" applyBorder="1" applyAlignment="1">
      <alignment horizontal="center" vertical="center" wrapText="1"/>
    </xf>
    <xf numFmtId="0" fontId="12" fillId="0" borderId="9" xfId="15" applyFont="1" applyBorder="1" applyAlignment="1">
      <alignment horizontal="center" vertical="center" wrapText="1"/>
    </xf>
    <xf numFmtId="0" fontId="12" fillId="0" borderId="3" xfId="15" applyFont="1" applyBorder="1" applyAlignment="1">
      <alignment horizontal="left" vertical="top" wrapText="1"/>
    </xf>
    <xf numFmtId="0" fontId="12" fillId="0" borderId="2" xfId="15" applyFont="1" applyBorder="1" applyAlignment="1">
      <alignment horizontal="left" vertical="top" wrapText="1" indent="1"/>
    </xf>
    <xf numFmtId="0" fontId="12" fillId="0" borderId="3" xfId="15" applyFont="1" applyBorder="1" applyAlignment="1">
      <alignment horizontal="left" vertical="top" wrapText="1" indent="1"/>
    </xf>
    <xf numFmtId="0" fontId="15" fillId="0" borderId="0" xfId="15" applyFont="1" applyAlignment="1">
      <alignment horizontal="justify" wrapText="1"/>
    </xf>
    <xf numFmtId="0" fontId="16" fillId="0" borderId="0" xfId="15" applyFont="1" applyAlignment="1">
      <alignment horizontal="justify" wrapText="1"/>
    </xf>
    <xf numFmtId="0" fontId="12" fillId="0" borderId="7" xfId="15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8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0" xfId="245" applyAlignment="1">
      <alignment horizontal="center"/>
    </xf>
  </cellXfs>
  <cellStyles count="395">
    <cellStyle name=" 1" xfId="29"/>
    <cellStyle name="_07. расчет тарифа 2007 от 23.08.06 для аудиторов" xfId="30"/>
    <cellStyle name="_Агафонов ЛИЗИНГ 19 сентября" xfId="31"/>
    <cellStyle name="_Анализ_231207-3 (2)" xfId="32"/>
    <cellStyle name="_Заявка Тестова  СКОРРЕКТИРОВАННАЯ" xfId="33"/>
    <cellStyle name="_Инвест программа" xfId="34"/>
    <cellStyle name="_ИНФОРМАЦИЯ ПО ДОГОВОРАМ ЛИЗИНГА" xfId="35"/>
    <cellStyle name="_ИНФОРМАЦИЯ ПО ДОГОВОРАМ ЛИЗИНГА 19 мая" xfId="36"/>
    <cellStyle name="_ИНФОРМАЦИЯ ПО ДОГОВОРАМ ЛИЗИНГА 27.04.071" xfId="37"/>
    <cellStyle name="_ИНФОРМАЦИЯ ПО ДОГОВОРАМ ЛИЗИНГА1" xfId="38"/>
    <cellStyle name="_ИП 17032006" xfId="2"/>
    <cellStyle name="_ИП СО 2006-2010 отпр 22 01 07" xfId="3"/>
    <cellStyle name="_ИП ФСК 10_10_07 куцанкиной" xfId="4"/>
    <cellStyle name="_ИП ФСК на 2008-2012 17 12 071" xfId="5"/>
    <cellStyle name="_Копия Прил 2(Показатели ИП)" xfId="6"/>
    <cellStyle name="_Копия Программа первоочередных мер_(правка 18 05 06 Усаров_2А_3)" xfId="39"/>
    <cellStyle name="_Копия Свод все сети+" xfId="40"/>
    <cellStyle name="_Копия формы для ФСК" xfId="41"/>
    <cellStyle name="_ЛИЗИНГ" xfId="42"/>
    <cellStyle name="_ЛИЗИНГ Агафонов 15.01.08" xfId="43"/>
    <cellStyle name="_Лизинг справка по забалансу 3 апрель" xfId="44"/>
    <cellStyle name="_Лист1" xfId="45"/>
    <cellStyle name="_Макет_Итоговый лист по анализу ИПР" xfId="46"/>
    <cellStyle name="_ОКС - программа кап.стройки" xfId="47"/>
    <cellStyle name="_Прил1-1 (МГИ) (Дубинину) 22 01 07" xfId="7"/>
    <cellStyle name="_Программа СО 7-09 для СД от 29 марта" xfId="8"/>
    <cellStyle name="_Расчет амортизации-ОТПРАВКА" xfId="48"/>
    <cellStyle name="_Расшифровка по приоритетам_МРСК 2" xfId="9"/>
    <cellStyle name="_смета расходов по версии ФСТ от 26.09.06 - Звержанская" xfId="49"/>
    <cellStyle name="_СМЕТЫ 2005 2006 2007" xfId="50"/>
    <cellStyle name="_СО 2006-2010  Прил1-1 (Дубинину)" xfId="10"/>
    <cellStyle name="_Справка по забалансу по лизингу" xfId="51"/>
    <cellStyle name="_счета 2008 оплаченные в 2007г " xfId="52"/>
    <cellStyle name="_Табл П2-5 (вар18-10-2006)" xfId="11"/>
    <cellStyle name="_ТАРИФ1" xfId="53"/>
    <cellStyle name="_Фина план на 2007 год (ФО)" xfId="54"/>
    <cellStyle name="_ФП К" xfId="55"/>
    <cellStyle name="_ФП К_к ФСТ" xfId="56"/>
    <cellStyle name="_ФСТ-2007-отправка-сентябрь ИСТОЧНИКИ" xfId="57"/>
    <cellStyle name="_ХОЛДИНГ_МРСК_09 10 2008" xfId="12"/>
    <cellStyle name="”ќђќ‘ћ‚›‰" xfId="58"/>
    <cellStyle name="”љ‘ђћ‚ђќќ›‰" xfId="59"/>
    <cellStyle name="„…ќ…†ќ›‰" xfId="60"/>
    <cellStyle name="‡ђѓћ‹ћ‚ћљ1" xfId="61"/>
    <cellStyle name="‡ђѓћ‹ћ‚ћљ2" xfId="62"/>
    <cellStyle name="’ћѓћ‚›‰" xfId="63"/>
    <cellStyle name="1Normal" xfId="13"/>
    <cellStyle name="20% - Акцент1 2" xfId="64"/>
    <cellStyle name="20% - Акцент1 2 2" xfId="65"/>
    <cellStyle name="20% - Акцент1 2 3" xfId="66"/>
    <cellStyle name="20% - Акцент1 3" xfId="67"/>
    <cellStyle name="20% - Акцент2 2" xfId="68"/>
    <cellStyle name="20% - Акцент2 2 2" xfId="69"/>
    <cellStyle name="20% - Акцент2 2 3" xfId="70"/>
    <cellStyle name="20% - Акцент2 3" xfId="71"/>
    <cellStyle name="20% - Акцент3 2" xfId="72"/>
    <cellStyle name="20% - Акцент3 2 2" xfId="73"/>
    <cellStyle name="20% - Акцент3 2 3" xfId="74"/>
    <cellStyle name="20% - Акцент3 3" xfId="75"/>
    <cellStyle name="20% - Акцент4 2" xfId="76"/>
    <cellStyle name="20% - Акцент4 2 2" xfId="77"/>
    <cellStyle name="20% - Акцент4 2 3" xfId="78"/>
    <cellStyle name="20% - Акцент4 3" xfId="79"/>
    <cellStyle name="20% - Акцент5 2" xfId="80"/>
    <cellStyle name="20% - Акцент5 2 2" xfId="81"/>
    <cellStyle name="20% - Акцент5 2 3" xfId="82"/>
    <cellStyle name="20% - Акцент5 3" xfId="83"/>
    <cellStyle name="20% - Акцент6 2" xfId="84"/>
    <cellStyle name="20% - Акцент6 2 2" xfId="85"/>
    <cellStyle name="20% - Акцент6 2 3" xfId="86"/>
    <cellStyle name="20% - Акцент6 3" xfId="87"/>
    <cellStyle name="40% - Акцент1 2" xfId="88"/>
    <cellStyle name="40% - Акцент1 2 2" xfId="89"/>
    <cellStyle name="40% - Акцент1 2 3" xfId="90"/>
    <cellStyle name="40% - Акцент1 3" xfId="91"/>
    <cellStyle name="40% - Акцент2 2" xfId="92"/>
    <cellStyle name="40% - Акцент2 2 2" xfId="93"/>
    <cellStyle name="40% - Акцент2 2 3" xfId="94"/>
    <cellStyle name="40% - Акцент2 3" xfId="95"/>
    <cellStyle name="40% - Акцент3 2" xfId="96"/>
    <cellStyle name="40% - Акцент3 2 2" xfId="97"/>
    <cellStyle name="40% - Акцент3 2 3" xfId="98"/>
    <cellStyle name="40% - Акцент3 3" xfId="99"/>
    <cellStyle name="40% - Акцент4 2" xfId="100"/>
    <cellStyle name="40% - Акцент4 2 2" xfId="101"/>
    <cellStyle name="40% - Акцент4 2 3" xfId="102"/>
    <cellStyle name="40% - Акцент4 3" xfId="103"/>
    <cellStyle name="40% - Акцент5 2" xfId="104"/>
    <cellStyle name="40% - Акцент5 2 2" xfId="105"/>
    <cellStyle name="40% - Акцент5 2 3" xfId="106"/>
    <cellStyle name="40% - Акцент5 3" xfId="107"/>
    <cellStyle name="40% - Акцент6 2" xfId="108"/>
    <cellStyle name="40% - Акцент6 2 2" xfId="109"/>
    <cellStyle name="40% - Акцент6 2 3" xfId="110"/>
    <cellStyle name="40% - Акцент6 3" xfId="111"/>
    <cellStyle name="60% - Акцент1 2" xfId="112"/>
    <cellStyle name="60% - Акцент1 2 2" xfId="113"/>
    <cellStyle name="60% - Акцент1 3" xfId="114"/>
    <cellStyle name="60% - Акцент2 2" xfId="115"/>
    <cellStyle name="60% - Акцент2 2 2" xfId="116"/>
    <cellStyle name="60% - Акцент2 3" xfId="117"/>
    <cellStyle name="60% - Акцент3 2" xfId="118"/>
    <cellStyle name="60% - Акцент3 2 2" xfId="119"/>
    <cellStyle name="60% - Акцент3 3" xfId="120"/>
    <cellStyle name="60% - Акцент4 2" xfId="121"/>
    <cellStyle name="60% - Акцент4 2 2" xfId="122"/>
    <cellStyle name="60% - Акцент4 3" xfId="123"/>
    <cellStyle name="60% - Акцент5 2" xfId="124"/>
    <cellStyle name="60% - Акцент5 2 2" xfId="125"/>
    <cellStyle name="60% - Акцент5 3" xfId="126"/>
    <cellStyle name="60% - Акцент6 2" xfId="127"/>
    <cellStyle name="60% - Акцент6 2 2" xfId="128"/>
    <cellStyle name="60% - Акцент6 3" xfId="129"/>
    <cellStyle name="Comma [0]_laroux" xfId="130"/>
    <cellStyle name="Comma_laroux" xfId="131"/>
    <cellStyle name="Currency [0]" xfId="132"/>
    <cellStyle name="Currency_laroux" xfId="133"/>
    <cellStyle name="Norma11l" xfId="14"/>
    <cellStyle name="Normal" xfId="134"/>
    <cellStyle name="Normal 1" xfId="135"/>
    <cellStyle name="Normal 2" xfId="136"/>
    <cellStyle name="Normal_ASUS" xfId="137"/>
    <cellStyle name="Normal1" xfId="138"/>
    <cellStyle name="Price_Body" xfId="139"/>
    <cellStyle name="SAPBEXaggData" xfId="140"/>
    <cellStyle name="SAPBEXaggDataEmph" xfId="141"/>
    <cellStyle name="SAPBEXaggItem" xfId="142"/>
    <cellStyle name="SAPBEXaggItemX" xfId="143"/>
    <cellStyle name="SAPBEXchaText" xfId="144"/>
    <cellStyle name="SAPBEXexcBad7" xfId="145"/>
    <cellStyle name="SAPBEXexcBad8" xfId="146"/>
    <cellStyle name="SAPBEXexcBad9" xfId="147"/>
    <cellStyle name="SAPBEXexcCritical4" xfId="148"/>
    <cellStyle name="SAPBEXexcCritical5" xfId="149"/>
    <cellStyle name="SAPBEXexcCritical6" xfId="150"/>
    <cellStyle name="SAPBEXexcGood1" xfId="151"/>
    <cellStyle name="SAPBEXexcGood2" xfId="152"/>
    <cellStyle name="SAPBEXexcGood3" xfId="153"/>
    <cellStyle name="SAPBEXfilterDrill" xfId="154"/>
    <cellStyle name="SAPBEXfilterItem" xfId="155"/>
    <cellStyle name="SAPBEXfilterText" xfId="156"/>
    <cellStyle name="SAPBEXformats" xfId="157"/>
    <cellStyle name="SAPBEXheaderItem" xfId="158"/>
    <cellStyle name="SAPBEXheaderText" xfId="159"/>
    <cellStyle name="SAPBEXHLevel0" xfId="160"/>
    <cellStyle name="SAPBEXHLevel0X" xfId="161"/>
    <cellStyle name="SAPBEXHLevel1" xfId="162"/>
    <cellStyle name="SAPBEXHLevel1X" xfId="163"/>
    <cellStyle name="SAPBEXHLevel2" xfId="164"/>
    <cellStyle name="SAPBEXHLevel2X" xfId="165"/>
    <cellStyle name="SAPBEXHLevel3" xfId="166"/>
    <cellStyle name="SAPBEXHLevel3X" xfId="167"/>
    <cellStyle name="SAPBEXresData" xfId="168"/>
    <cellStyle name="SAPBEXresDataEmph" xfId="169"/>
    <cellStyle name="SAPBEXresItem" xfId="170"/>
    <cellStyle name="SAPBEXresItemX" xfId="171"/>
    <cellStyle name="SAPBEXstdData" xfId="172"/>
    <cellStyle name="SAPBEXstdDataEmph" xfId="173"/>
    <cellStyle name="SAPBEXstdItem" xfId="174"/>
    <cellStyle name="SAPBEXstdItem 2" xfId="175"/>
    <cellStyle name="SAPBEXstdItemX" xfId="176"/>
    <cellStyle name="SAPBEXtitle" xfId="177"/>
    <cellStyle name="SAPBEXundefined" xfId="178"/>
    <cellStyle name="Акцент1 2" xfId="179"/>
    <cellStyle name="Акцент1 2 2" xfId="180"/>
    <cellStyle name="Акцент1 3" xfId="181"/>
    <cellStyle name="Акцент2 2" xfId="182"/>
    <cellStyle name="Акцент2 2 2" xfId="183"/>
    <cellStyle name="Акцент2 3" xfId="184"/>
    <cellStyle name="Акцент3 2" xfId="185"/>
    <cellStyle name="Акцент3 2 2" xfId="186"/>
    <cellStyle name="Акцент3 3" xfId="187"/>
    <cellStyle name="Акцент4 2" xfId="188"/>
    <cellStyle name="Акцент4 2 2" xfId="189"/>
    <cellStyle name="Акцент4 3" xfId="190"/>
    <cellStyle name="Акцент5 2" xfId="191"/>
    <cellStyle name="Акцент5 2 2" xfId="192"/>
    <cellStyle name="Акцент5 3" xfId="193"/>
    <cellStyle name="Акцент6 2" xfId="194"/>
    <cellStyle name="Акцент6 2 2" xfId="195"/>
    <cellStyle name="Акцент6 3" xfId="196"/>
    <cellStyle name="Беззащитный" xfId="197"/>
    <cellStyle name="Ввод  2" xfId="198"/>
    <cellStyle name="Ввод  2 2" xfId="199"/>
    <cellStyle name="Ввод  3" xfId="200"/>
    <cellStyle name="Вывод 2" xfId="201"/>
    <cellStyle name="Вывод 2 2" xfId="202"/>
    <cellStyle name="Вывод 3" xfId="203"/>
    <cellStyle name="Вычисление 2" xfId="204"/>
    <cellStyle name="Вычисление 2 2" xfId="205"/>
    <cellStyle name="Вычисление 3" xfId="206"/>
    <cellStyle name="Гиперссылка" xfId="1" builtinId="8"/>
    <cellStyle name="Гиперссылка 2" xfId="207"/>
    <cellStyle name="Заголовок" xfId="208"/>
    <cellStyle name="Заголовок 1 2" xfId="209"/>
    <cellStyle name="Заголовок 1 2 2" xfId="210"/>
    <cellStyle name="Заголовок 1 3" xfId="211"/>
    <cellStyle name="Заголовок 2 2" xfId="212"/>
    <cellStyle name="Заголовок 2 2 2" xfId="213"/>
    <cellStyle name="Заголовок 2 3" xfId="214"/>
    <cellStyle name="Заголовок 3 2" xfId="215"/>
    <cellStyle name="Заголовок 3 2 2" xfId="216"/>
    <cellStyle name="Заголовок 3 3" xfId="217"/>
    <cellStyle name="Заголовок 4 2" xfId="218"/>
    <cellStyle name="Заголовок 4 2 2" xfId="219"/>
    <cellStyle name="Заголовок 4 3" xfId="220"/>
    <cellStyle name="ЗаголовокСтолбца" xfId="221"/>
    <cellStyle name="Защитный" xfId="222"/>
    <cellStyle name="Значение" xfId="223"/>
    <cellStyle name="Итог 2" xfId="224"/>
    <cellStyle name="Итог 2 2" xfId="225"/>
    <cellStyle name="Итог 3" xfId="226"/>
    <cellStyle name="Контрольная ячейка 2" xfId="227"/>
    <cellStyle name="Контрольная ячейка 2 2" xfId="228"/>
    <cellStyle name="Контрольная ячейка 3" xfId="229"/>
    <cellStyle name="Мой заголовок" xfId="230"/>
    <cellStyle name="Мой заголовок листа" xfId="231"/>
    <cellStyle name="Мои наименования показателей" xfId="232"/>
    <cellStyle name="Название 2" xfId="233"/>
    <cellStyle name="Название 2 2" xfId="234"/>
    <cellStyle name="Название 3" xfId="235"/>
    <cellStyle name="Нейтральный 2" xfId="236"/>
    <cellStyle name="Нейтральный 2 2" xfId="237"/>
    <cellStyle name="Нейтральный 3" xfId="238"/>
    <cellStyle name="Обычный" xfId="0" builtinId="0"/>
    <cellStyle name="Обычный 10" xfId="15"/>
    <cellStyle name="Обычный 10 2" xfId="239"/>
    <cellStyle name="Обычный 10 3" xfId="240"/>
    <cellStyle name="Обычный 10 4" xfId="241"/>
    <cellStyle name="Обычный 10 5" xfId="242"/>
    <cellStyle name="Обычный 10 5 2" xfId="243"/>
    <cellStyle name="Обычный 11" xfId="244"/>
    <cellStyle name="Обычный 11 2" xfId="245"/>
    <cellStyle name="Обычный 11 3" xfId="246"/>
    <cellStyle name="Обычный 110" xfId="247"/>
    <cellStyle name="Обычный 12" xfId="248"/>
    <cellStyle name="Обычный 12 2" xfId="249"/>
    <cellStyle name="Обычный 13" xfId="250"/>
    <cellStyle name="Обычный 14" xfId="251"/>
    <cellStyle name="Обычный 15" xfId="252"/>
    <cellStyle name="Обычный 15 2" xfId="253"/>
    <cellStyle name="Обычный 16" xfId="254"/>
    <cellStyle name="Обычный 16 2" xfId="255"/>
    <cellStyle name="Обычный 17" xfId="256"/>
    <cellStyle name="Обычный 2" xfId="16"/>
    <cellStyle name="Обычный 2 10" xfId="257"/>
    <cellStyle name="Обычный 2 11" xfId="258"/>
    <cellStyle name="Обычный 2 2" xfId="17"/>
    <cellStyle name="Обычный 2 2 2" xfId="259"/>
    <cellStyle name="Обычный 2 2 2 2" xfId="260"/>
    <cellStyle name="Обычный 2 2 3" xfId="261"/>
    <cellStyle name="Обычный 2 2 3 2" xfId="262"/>
    <cellStyle name="Обычный 2 2 4" xfId="263"/>
    <cellStyle name="Обычный 2 3" xfId="264"/>
    <cellStyle name="Обычный 2 3 2" xfId="265"/>
    <cellStyle name="Обычный 2 4" xfId="266"/>
    <cellStyle name="Обычный 2 5" xfId="267"/>
    <cellStyle name="Обычный 2 5 2" xfId="268"/>
    <cellStyle name="Обычный 2 6" xfId="269"/>
    <cellStyle name="Обычный 2 7" xfId="270"/>
    <cellStyle name="Обычный 2 7 2" xfId="271"/>
    <cellStyle name="Обычный 2 8" xfId="272"/>
    <cellStyle name="Обычный 2 8 2" xfId="273"/>
    <cellStyle name="Обычный 2 8 3" xfId="274"/>
    <cellStyle name="Обычный 2 9" xfId="275"/>
    <cellStyle name="Обычный 23" xfId="18"/>
    <cellStyle name="Обычный 3" xfId="19"/>
    <cellStyle name="Обычный 3 2" xfId="276"/>
    <cellStyle name="Обычный 3 2 2" xfId="277"/>
    <cellStyle name="Обычный 3 2 2 2" xfId="278"/>
    <cellStyle name="Обычный 3 2 3" xfId="279"/>
    <cellStyle name="Обычный 3 2 4" xfId="280"/>
    <cellStyle name="Обычный 3 3" xfId="281"/>
    <cellStyle name="Обычный 3 3 2" xfId="282"/>
    <cellStyle name="Обычный 3 4" xfId="283"/>
    <cellStyle name="Обычный 3 5" xfId="284"/>
    <cellStyle name="Обычный 3 6" xfId="285"/>
    <cellStyle name="Обычный 3_ИП-май-2011" xfId="286"/>
    <cellStyle name="Обычный 33" xfId="287"/>
    <cellStyle name="Обычный 4" xfId="20"/>
    <cellStyle name="Обычный 4 2" xfId="288"/>
    <cellStyle name="Обычный 4 2 2" xfId="289"/>
    <cellStyle name="Обычный 4 2 3" xfId="290"/>
    <cellStyle name="Обычный 4 3" xfId="291"/>
    <cellStyle name="Обычный 5" xfId="21"/>
    <cellStyle name="Обычный 5 2" xfId="292"/>
    <cellStyle name="Обычный 5 3" xfId="293"/>
    <cellStyle name="Обычный 58" xfId="294"/>
    <cellStyle name="Обычный 6" xfId="22"/>
    <cellStyle name="Обычный 6 2" xfId="295"/>
    <cellStyle name="Обычный 6 3" xfId="296"/>
    <cellStyle name="Обычный 6 3 2" xfId="297"/>
    <cellStyle name="Обычный 6 3 3" xfId="298"/>
    <cellStyle name="Обычный 6 4" xfId="299"/>
    <cellStyle name="Обычный 7" xfId="300"/>
    <cellStyle name="Обычный 8" xfId="23"/>
    <cellStyle name="Обычный 9" xfId="301"/>
    <cellStyle name="Обычный 9 2" xfId="302"/>
    <cellStyle name="Обычный 98" xfId="303"/>
    <cellStyle name="Плохой 2" xfId="304"/>
    <cellStyle name="Плохой 2 2" xfId="305"/>
    <cellStyle name="Плохой 3" xfId="306"/>
    <cellStyle name="Поле ввода" xfId="307"/>
    <cellStyle name="Пояснение 2" xfId="308"/>
    <cellStyle name="Пояснение 2 2" xfId="309"/>
    <cellStyle name="Пояснение 3" xfId="310"/>
    <cellStyle name="Примечание 2" xfId="311"/>
    <cellStyle name="Примечание 2 2" xfId="312"/>
    <cellStyle name="Примечание 2 3" xfId="313"/>
    <cellStyle name="Примечание 3" xfId="314"/>
    <cellStyle name="Примечание 4" xfId="315"/>
    <cellStyle name="Процентный 2" xfId="316"/>
    <cellStyle name="Процентный 2 2" xfId="317"/>
    <cellStyle name="Процентный 2 2 2" xfId="318"/>
    <cellStyle name="Процентный 2 3" xfId="319"/>
    <cellStyle name="Связанная ячейка 2" xfId="320"/>
    <cellStyle name="Связанная ячейка 2 2" xfId="321"/>
    <cellStyle name="Связанная ячейка 3" xfId="322"/>
    <cellStyle name="Стиль 1" xfId="24"/>
    <cellStyle name="Стиль 1 2" xfId="323"/>
    <cellStyle name="Стиль 1 2 2" xfId="324"/>
    <cellStyle name="Стиль 1 20 2" xfId="325"/>
    <cellStyle name="Стиль 1 22" xfId="326"/>
    <cellStyle name="Стиль 1 3" xfId="327"/>
    <cellStyle name="Текст предупреждения 2" xfId="328"/>
    <cellStyle name="Текст предупреждения 2 2" xfId="329"/>
    <cellStyle name="Текст предупреждения 3" xfId="330"/>
    <cellStyle name="Текстовый" xfId="331"/>
    <cellStyle name="Тысячи [0]_3Com" xfId="332"/>
    <cellStyle name="Тысячи_3Com" xfId="333"/>
    <cellStyle name="Финансовый [0] 2" xfId="334"/>
    <cellStyle name="Финансовый 10" xfId="335"/>
    <cellStyle name="Финансовый 11" xfId="336"/>
    <cellStyle name="Финансовый 12" xfId="337"/>
    <cellStyle name="Финансовый 13" xfId="338"/>
    <cellStyle name="Финансовый 14" xfId="339"/>
    <cellStyle name="Финансовый 15" xfId="340"/>
    <cellStyle name="Финансовый 16" xfId="341"/>
    <cellStyle name="Финансовый 17" xfId="342"/>
    <cellStyle name="Финансовый 18" xfId="343"/>
    <cellStyle name="Финансовый 19" xfId="344"/>
    <cellStyle name="Финансовый 2" xfId="25"/>
    <cellStyle name="Финансовый 2 2" xfId="345"/>
    <cellStyle name="Финансовый 2 2 2" xfId="346"/>
    <cellStyle name="Финансовый 2 3" xfId="347"/>
    <cellStyle name="Финансовый 2 3 2" xfId="348"/>
    <cellStyle name="Финансовый 2 4" xfId="349"/>
    <cellStyle name="Финансовый 20" xfId="350"/>
    <cellStyle name="Финансовый 21" xfId="351"/>
    <cellStyle name="Финансовый 3" xfId="26"/>
    <cellStyle name="Финансовый 3 2" xfId="352"/>
    <cellStyle name="Финансовый 3 2 2" xfId="353"/>
    <cellStyle name="Финансовый 3 3" xfId="354"/>
    <cellStyle name="Финансовый 3 4" xfId="355"/>
    <cellStyle name="Финансовый 4" xfId="27"/>
    <cellStyle name="Финансовый 4 2" xfId="356"/>
    <cellStyle name="Финансовый 4 2 2" xfId="357"/>
    <cellStyle name="Финансовый 4 2 2 2" xfId="358"/>
    <cellStyle name="Финансовый 4 2 3" xfId="359"/>
    <cellStyle name="Финансовый 4 3" xfId="360"/>
    <cellStyle name="Финансовый 4 4" xfId="361"/>
    <cellStyle name="Финансовый 5" xfId="28"/>
    <cellStyle name="Финансовый 5 2" xfId="362"/>
    <cellStyle name="Финансовый 5 3" xfId="363"/>
    <cellStyle name="Финансовый 5 4" xfId="364"/>
    <cellStyle name="Финансовый 6" xfId="365"/>
    <cellStyle name="Финансовый 6 2" xfId="366"/>
    <cellStyle name="Финансовый 6 3" xfId="367"/>
    <cellStyle name="Финансовый 6 4" xfId="368"/>
    <cellStyle name="Финансовый 7" xfId="369"/>
    <cellStyle name="Финансовый 8" xfId="370"/>
    <cellStyle name="Финансовый 9" xfId="371"/>
    <cellStyle name="Формула" xfId="372"/>
    <cellStyle name="ФормулаВБ" xfId="373"/>
    <cellStyle name="ФормулаНаКонтроль" xfId="374"/>
    <cellStyle name="Хороший 2" xfId="375"/>
    <cellStyle name="Хороший 2 2" xfId="376"/>
    <cellStyle name="Хороший 3" xfId="377"/>
    <cellStyle name="Џђћ–…ќ’ќ›‰" xfId="378"/>
    <cellStyle name="㼿㼿" xfId="379"/>
    <cellStyle name="㼿㼿?" xfId="380"/>
    <cellStyle name="㼿㼿_Укрупненный расчет  Варнав._3" xfId="381"/>
    <cellStyle name="㼿㼿㼿" xfId="382"/>
    <cellStyle name="㼿㼿㼿?" xfId="383"/>
    <cellStyle name="㼿㼿㼿_Укрупненный расчет  Варнав._6" xfId="384"/>
    <cellStyle name="㼿㼿㼿㼿" xfId="385"/>
    <cellStyle name="㼿㼿㼿㼿?" xfId="386"/>
    <cellStyle name="㼿㼿㼿㼿_Укрупненный расчет  Варнав._5" xfId="387"/>
    <cellStyle name="㼿㼿㼿㼿㼿" xfId="388"/>
    <cellStyle name="㼿㼿㼿㼿㼿?" xfId="389"/>
    <cellStyle name="㼿㼿㼿㼿㼿_Укрупненный расчет  Варнав." xfId="390"/>
    <cellStyle name="㼿㼿㼿㼿㼿㼿?" xfId="391"/>
    <cellStyle name="㼿㼿㼿㼿㼿㼿㼿㼿" xfId="392"/>
    <cellStyle name="㼿㼿㼿㼿㼿㼿㼿㼿㼿" xfId="393"/>
    <cellStyle name="㼿㼿㼿㼿㼿㼿㼿㼿㼿㼿" xfId="3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ges\tp_sr\Users\Mr.Big\AppData\Local\Microsoft\Windows\Temporary%20Internet%20Files\Content.IE5\D203Z6KZ\&#1057;-4%20(&#1058;&#1055;)\&#1060;&#1086;&#1088;&#1084;&#1072;%20&#8470;3%20&#1086;&#1090;&#1095;&#1077;&#1090;%20&#1079;&#1072;%206%20&#1084;&#1077;&#1089;&#1103;&#1094;&#1077;&#1074;%202011%20&#1075;.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ges\tp_sr\&#1054;&#1090;&#1076;&#1077;&#1083;%20&#1080;&#1085;&#1074;&#1077;&#1089;&#1090;&#1080;&#1094;&#1080;&#1086;&#1085;&#1085;&#1086;&#1075;&#1086;%20&#1087;&#1083;&#1072;&#1085;&#1080;&#1088;&#1086;&#1074;&#1072;&#1085;&#1080;&#1103;\!!!\!!!&#1042;&#1089;&#1077;%20&#1076;&#1083;&#1103;%20&#1048;&#1055;&#1056;%202010\&#1042;&#1077;&#1088;&#1089;&#1080;&#1080;%20&#1092;&#1080;&#1083;&#1080;&#1072;&#1083;&#1086;&#1074;\&#1047;&#1069;&#1057;\&#1048;&#1055;%202010%20&#1086;&#1090;%2028.10.0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ges\tp_sr\DSPI\USPT\Paramonova\&#1058;&#1072;&#1088;&#1080;&#1092;\&#1052;&#1054;\&#1056;&#1072;&#1089;&#1095;&#1077;&#1090;%20&#1089;&#1088;&#1077;&#1076;&#1085;&#1077;&#1075;&#1086;%20&#1090;&#1072;&#1088;&#1080;&#1092;&#1072;_&#1052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tges\tp_sr\Documents%20and%20Settings\BespalovaEA\&#1056;&#1072;&#1073;&#1086;&#1095;&#1080;&#1081;%20&#1089;&#1090;&#1086;&#1083;\&#1057;&#1088;&#1072;&#1074;&#1085;&#1077;&#1085;&#1080;&#1077;%20&#1089;&#1090;&#1072;&#1074;&#1086;&#108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Номенклатура материалов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  <sheetName val="Handbook"/>
      <sheetName val="П.8."/>
      <sheetName val="Информ-я о регулируемой орг-и"/>
      <sheetName val="Автозаполнение"/>
      <sheetName val="Перечень"/>
      <sheetName val="Справочник коды"/>
      <sheetName val="база подразделение"/>
      <sheetName val="база статьи затрат"/>
      <sheetName val="БД"/>
      <sheetName val="Расчет НВВ общий"/>
      <sheetName val="ID ПС"/>
      <sheetName val="Нормы325"/>
      <sheetName val="TOPLIWO"/>
      <sheetName val="2018"/>
      <sheetName val="2019"/>
      <sheetName val="Справочник"/>
      <sheetName val="договора-ОТЧЕТутв.БП"/>
      <sheetName val="Справочно"/>
      <sheetName val="Типовые причины"/>
      <sheetName val="БЗ"/>
      <sheetName val="Правила заполнения реестра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  <sheetName val="Спр_ пласт"/>
      <sheetName val="Спр_ мест"/>
      <sheetName val="Содержание"/>
      <sheetName val="15"/>
      <sheetName val="16"/>
      <sheetName val="17.1"/>
      <sheetName val="17"/>
      <sheetName val="18.2"/>
      <sheetName val="перекрестка"/>
      <sheetName val="20.1"/>
      <sheetName val="20"/>
      <sheetName val="21.3"/>
      <sheetName val="24"/>
      <sheetName val="25"/>
      <sheetName val="27"/>
      <sheetName val="3"/>
      <sheetName val="4"/>
      <sheetName val="5"/>
      <sheetName val="6"/>
      <sheetName val="P2.1"/>
      <sheetName val="P2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ация"/>
      <sheetName val="Объекты"/>
      <sheetName val="ЗЭС"/>
      <sheetName val="Объекты 2010"/>
      <sheetName val="СводЗЭС"/>
      <sheetName val="Филиал 2"/>
      <sheetName val="Перегруппировка"/>
      <sheetName val="Незавершённое строительство"/>
      <sheetName val="Характеристика"/>
      <sheetName val="Основные фонды"/>
      <sheetName val="Тарифы"/>
      <sheetName val="Лист1"/>
      <sheetName val="ИТОГИ 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  <sheetName val="16"/>
      <sheetName val="4"/>
      <sheetName val="5"/>
      <sheetName val="Ф-1 (для АО-энерго)"/>
      <sheetName val="Ф-2 (для АО-энерго)"/>
      <sheetName val="перекрестка"/>
      <sheetName val="свод"/>
      <sheetName val="17.1"/>
      <sheetName val="24"/>
      <sheetName val="25"/>
      <sheetName val="Справочники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Set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ПРОГНОЗ_1"/>
      <sheetName val="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сл_11_Тариф2010-20151"/>
      <sheetName val="Баланс_ээ1"/>
      <sheetName val="Баланс_мощности1"/>
      <sheetName val="Tarif_300_6_2004_для_фэк_скорр1"/>
      <sheetName val="Integrali_e_proporzionali"/>
      <sheetName val="1__Subsidiary"/>
      <sheetName val="Ген__не_уч__ОРЭМ"/>
      <sheetName val="шаблон_для_R3"/>
      <sheetName val="НВВ_утв_тарифы1"/>
      <sheetName val="Баланс_мощности_20071"/>
      <sheetName val="ИТОГИ__по_Н,Р,Э,Q1"/>
      <sheetName val="D-Test_of_FA_Installation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Поставщики_и_субподрядчики"/>
      <sheetName val="Таб1_1"/>
      <sheetName val="форма-прил_к_ф№1"/>
      <sheetName val="Данные_для_расчета"/>
      <sheetName val="Прил_1"/>
      <sheetName val="3_6_"/>
      <sheetName val="ESTI_"/>
      <sheetName val="Передача_электро_x0000_нергии"/>
      <sheetName val="Передача_электро"/>
      <sheetName val="Read me first"/>
      <sheetName val="LDE"/>
      <sheetName val="Sheet5"/>
      <sheetName val="табл.1"/>
      <sheetName val="с выходом на ПЗ"/>
      <sheetName val="EUR"/>
      <sheetName val="Controls"/>
      <sheetName val="Curves"/>
      <sheetName val="Note"/>
      <sheetName val="Heads"/>
      <sheetName val="main gate house"/>
      <sheetName val="Dbase"/>
      <sheetName val="Tables"/>
      <sheetName val="Page 2"/>
      <sheetName val="mto rev.2(armor)"/>
      <sheetName val="Сталь"/>
      <sheetName val="Заголовок"/>
      <sheetName val="677"/>
      <sheetName val="MAIN"/>
      <sheetName val="Context_LTP"/>
      <sheetName val="БИ-2-18-П"/>
      <sheetName val="БИ-2-19-П"/>
      <sheetName val="БИ-2-7-П"/>
      <sheetName val="БИ-2-9-П"/>
      <sheetName val="БИ-2-14-П"/>
      <sheetName val="БИ-2-16-П"/>
      <sheetName val="ИТ-бюджет"/>
      <sheetName val="на 1 тут"/>
      <sheetName val="5"/>
      <sheetName val="tmp"/>
      <sheetName val="11"/>
      <sheetName val="28"/>
      <sheetName val="29"/>
      <sheetName val="21"/>
      <sheetName val="23"/>
      <sheetName val="25"/>
      <sheetName val="26"/>
      <sheetName val="19"/>
      <sheetName val="22"/>
      <sheetName val="24"/>
      <sheetName val="P2.2"/>
      <sheetName val="бф-2-8-п"/>
      <sheetName val="comps"/>
      <sheetName val="Лист13"/>
      <sheetName val="Производство_электроэнергии2"/>
      <sheetName val="_пр-во_ЭЭ2"/>
      <sheetName val="Передача_электроэнергии2"/>
      <sheetName val="_передача_ЭЭ2"/>
      <sheetName val="Производство_теплоэнергии2"/>
      <sheetName val="_пр-во_ТЭ_параметры2"/>
      <sheetName val="Передача_теплоэнергии2"/>
      <sheetName val="Фиксированные_тарифы2"/>
      <sheetName val="Т15_12"/>
      <sheetName val="Т15_22"/>
      <sheetName val="Т15_32"/>
      <sheetName val="Т15_42"/>
      <sheetName val="Т16_12"/>
      <sheetName val="Т16_22"/>
      <sheetName val="Т16_32"/>
      <sheetName val="Т16_42"/>
      <sheetName val="Т17_12"/>
      <sheetName val="Т17_22"/>
      <sheetName val="Т17_32"/>
      <sheetName val="Т17_42"/>
      <sheetName val="Т18_12"/>
      <sheetName val="Т18_22"/>
      <sheetName val="Т19_13"/>
      <sheetName val="Т19_22"/>
      <sheetName val="Т21_12"/>
      <sheetName val="Т21_22"/>
      <sheetName val="Т21_32"/>
      <sheetName val="Т21_42"/>
      <sheetName val="Т24_12"/>
      <sheetName val="Т25_12"/>
      <sheetName val="Т28_12"/>
      <sheetName val="Т28_22"/>
      <sheetName val="Т28_32"/>
      <sheetName val="Т29_12"/>
      <sheetName val="сл_11_Тариф2010-20152"/>
      <sheetName val="Баланс_ээ2"/>
      <sheetName val="Баланс_мощности2"/>
      <sheetName val="Tarif_300_6_2004_для_фэк_скорр2"/>
      <sheetName val="Integrali_e_proporzionali1"/>
      <sheetName val="1__Subsidiary1"/>
      <sheetName val="Ген__не_уч__ОРЭМ1"/>
      <sheetName val="шаблон_для_R31"/>
      <sheetName val="НВВ_утв_тарифы2"/>
      <sheetName val="Баланс_мощности_20072"/>
      <sheetName val="ИТОГИ__по_Н,Р,Э,Q2"/>
      <sheetName val="D-Test_of_FA_Installation2"/>
      <sheetName val="Shflu_Calc1"/>
      <sheetName val="баланс_квадраты_ПЭС1"/>
      <sheetName val="Калькуляция_кв1"/>
      <sheetName val="18_21"/>
      <sheetName val="17_11"/>
      <sheetName val="21_31"/>
      <sheetName val="2_31"/>
      <sheetName val="P2_11"/>
      <sheetName val="Inputs_Sheet1"/>
      <sheetName val="Ввод_данных_Эл__11"/>
      <sheetName val="Расчет_тарифов_и_выручки1"/>
      <sheetName val="HIS_initial1"/>
      <sheetName val="Итог_по_НПО_1"/>
      <sheetName val="Баланс_(Ф1)1"/>
      <sheetName val="Table_11"/>
      <sheetName val="Таблица_А131"/>
      <sheetName val="эл_эн1"/>
      <sheetName val="Поставщики_и_субподрядчики1"/>
      <sheetName val="Таб1_11"/>
      <sheetName val="форма-прил_к_ф№11"/>
      <sheetName val="Прил_11"/>
      <sheetName val="Данные_для_расчета1"/>
      <sheetName val="3_6_1"/>
      <sheetName val="ESTI_1"/>
      <sheetName val="Список_для_вставки01"/>
      <sheetName val="Other_software_VCR"/>
      <sheetName val="Баз_предп"/>
      <sheetName val="Форма_2_по_видам_деят-ти_(2)"/>
      <sheetName val="табл_1"/>
      <sheetName val="с_выходом_на_ПЗ"/>
      <sheetName val="mto_rev_2(armor)"/>
      <sheetName val="main_gate_house"/>
      <sheetName val="Page_2"/>
      <sheetName val="Read_me_first"/>
      <sheetName val="на_1_тут"/>
      <sheetName val="P2_2"/>
      <sheetName val="Передача_электро?нергии"/>
      <sheetName val="№ П 2.1"/>
      <sheetName val="№ П 2.2."/>
      <sheetName val="База"/>
      <sheetName val="Даты"/>
      <sheetName val="BS (RAS)"/>
      <sheetName val="Аренда Торговля"/>
      <sheetName val="Аренда СТО"/>
      <sheetName val="исх 1"/>
      <sheetName val="Balance Sheet"/>
      <sheetName val="свед"/>
      <sheetName val="共機計算"/>
      <sheetName val="Смета2 проект. раб."/>
      <sheetName val="Производство_электроэнергии3"/>
      <sheetName val="_пр-во_ЭЭ3"/>
      <sheetName val="Передача_электроэнергии3"/>
      <sheetName val="_передача_ЭЭ3"/>
      <sheetName val="Производство_теплоэнергии3"/>
      <sheetName val="_пр-во_ТЭ_параметры3"/>
      <sheetName val="Передача_теплоэнергии3"/>
      <sheetName val="Фиксированные_тарифы3"/>
      <sheetName val="Т15_13"/>
      <sheetName val="Т15_23"/>
      <sheetName val="Т15_33"/>
      <sheetName val="Т15_43"/>
      <sheetName val="Т16_13"/>
      <sheetName val="Т16_23"/>
      <sheetName val="Т16_33"/>
      <sheetName val="Т16_43"/>
      <sheetName val="Т17_13"/>
      <sheetName val="Т17_23"/>
      <sheetName val="Т17_33"/>
      <sheetName val="Т17_43"/>
      <sheetName val="Т18_13"/>
      <sheetName val="Т18_23"/>
      <sheetName val="Т19_14"/>
      <sheetName val="Т19_23"/>
      <sheetName val="Т21_13"/>
      <sheetName val="Т21_23"/>
      <sheetName val="Т21_33"/>
      <sheetName val="Т21_43"/>
      <sheetName val="Т24_13"/>
      <sheetName val="Т25_13"/>
      <sheetName val="Т28_13"/>
      <sheetName val="Т28_23"/>
      <sheetName val="Т28_33"/>
      <sheetName val="Т29_13"/>
      <sheetName val="сл_11_Тариф2010-20153"/>
      <sheetName val="Баланс_ээ3"/>
      <sheetName val="Баланс_мощности3"/>
      <sheetName val="Tarif_300_6_2004_для_фэк_скорр3"/>
      <sheetName val="Integrali_e_proporzionali2"/>
      <sheetName val="1__Subsidiary2"/>
      <sheetName val="Ген__не_уч__ОРЭМ2"/>
      <sheetName val="шаблон_для_R32"/>
      <sheetName val="НВВ_утв_тарифы3"/>
      <sheetName val="Баланс_мощности_20073"/>
      <sheetName val="ИТОГИ__по_Н,Р,Э,Q3"/>
      <sheetName val="D-Test_of_FA_Installation3"/>
      <sheetName val="Shflu_Calc2"/>
      <sheetName val="баланс_квадраты_ПЭС2"/>
      <sheetName val="Калькуляция_кв2"/>
      <sheetName val="18_22"/>
      <sheetName val="17_12"/>
      <sheetName val="21_32"/>
      <sheetName val="2_32"/>
      <sheetName val="P2_12"/>
      <sheetName val="Inputs_Sheet2"/>
      <sheetName val="Ввод_данных_Эл__12"/>
      <sheetName val="Расчет_тарифов_и_выручки2"/>
      <sheetName val="HIS_initial2"/>
      <sheetName val="Итог_по_НПО_2"/>
      <sheetName val="Баланс_(Ф1)2"/>
      <sheetName val="Table_12"/>
      <sheetName val="Таблица_А132"/>
      <sheetName val="эл_эн2"/>
      <sheetName val="Поставщики_и_субподрядчики2"/>
      <sheetName val="Таб1_12"/>
      <sheetName val="форма-прил_к_ф№12"/>
      <sheetName val="Прил_12"/>
      <sheetName val="Данные_для_расчета2"/>
      <sheetName val="3_6_2"/>
      <sheetName val="ESTI_2"/>
      <sheetName val="Список_для_вставки011"/>
      <sheetName val="Other_software_VCR1"/>
      <sheetName val="Баз_предп1"/>
      <sheetName val="Форма_2_по_видам_деят-ти_(2)1"/>
      <sheetName val="табл_11"/>
      <sheetName val="с_выходом_на_ПЗ1"/>
      <sheetName val="mto_rev_2(armor)1"/>
      <sheetName val="main_gate_house1"/>
      <sheetName val="Page_21"/>
      <sheetName val="Read_me_first1"/>
      <sheetName val="на_1_тут1"/>
      <sheetName val="P2_21"/>
      <sheetName val="№_П_2_1"/>
      <sheetName val="№_П_2_2_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1">
          <cell r="B31" t="str">
            <v>Итого</v>
          </cell>
        </row>
        <row r="36">
          <cell r="B36" t="str">
            <v>Число часов использования заявленноймощности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4">
          <cell r="B4">
            <v>0</v>
          </cell>
        </row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>
        <row r="5">
          <cell r="A5" t="str">
            <v>Производство электроэнергии</v>
          </cell>
        </row>
      </sheetData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>
        <row r="39">
          <cell r="B39" t="str">
            <v>Сумма общехозяйственных расходов</v>
          </cell>
        </row>
      </sheetData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>
        <row r="5">
          <cell r="A5" t="str">
            <v>Производство электроэнергии</v>
          </cell>
        </row>
      </sheetData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>
        <row r="39">
          <cell r="B39" t="str">
            <v>Сумма общехозяйственных расходов</v>
          </cell>
        </row>
      </sheetData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Info"/>
      <sheetName val="Регионы"/>
      <sheetName val="Table"/>
      <sheetName val="Exhibit"/>
      <sheetName val="Setup"/>
      <sheetName val="НП-2-12-П"/>
      <sheetName val="Tarif_300_6_2004 для фэк скорр"/>
      <sheetName val="Баланс мощности 2007"/>
      <sheetName val="Свод"/>
      <sheetName val="ДПН"/>
      <sheetName val="НВВ утв тарифы"/>
      <sheetName val="Справочники"/>
      <sheetName val="БФ-2-13-П"/>
      <sheetName val="ИТОГИ  по Н,Р,Э,Q"/>
      <sheetName val="D-Test of FA Installation"/>
      <sheetName val="ФСИ-Т-14"/>
      <sheetName val="Shflu Calc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Ошибки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15"/>
      <sheetName val="эл.эн"/>
      <sheetName val="Таблица А13"/>
      <sheetName val="ТехЭк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Таб1.1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  <sheetName val="KEY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НВВ_утв_тарифы1"/>
      <sheetName val="Tarif_300_6_2004_для_фэк_скорр1"/>
      <sheetName val="Баланс_мощности_20071"/>
      <sheetName val="D-Test_of_FA_Installation1"/>
      <sheetName val="ИТОГИ__по_Н,Р,Э,Q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сл_11_Тариф2010-20151"/>
      <sheetName val="Баланс_ээ1"/>
      <sheetName val="Баланс_мощности1"/>
      <sheetName val="Integrali_e_proporzionali"/>
      <sheetName val="1__Subsidiary"/>
      <sheetName val="Ген__не_уч__ОРЭМ"/>
      <sheetName val="шаблон_для_R3"/>
      <sheetName val="Таб1_1"/>
      <sheetName val="форма-прил_к_ф№1"/>
      <sheetName val="Поставщики_и_субподрядчики"/>
      <sheetName val="Данные_для_расчета"/>
      <sheetName val="3_6_"/>
      <sheetName val="Прил_1"/>
      <sheetName val="ESTI_"/>
      <sheetName val="11"/>
      <sheetName val="28"/>
      <sheetName val="29"/>
      <sheetName val="21"/>
      <sheetName val="23"/>
      <sheetName val="25"/>
      <sheetName val="26"/>
      <sheetName val="19"/>
      <sheetName val="22"/>
      <sheetName val="24"/>
      <sheetName val="табл.1"/>
      <sheetName val="с выходом на ПЗ"/>
      <sheetName val="EUR"/>
      <sheetName val="677"/>
      <sheetName val="MAIN"/>
      <sheetName val="Context_LTP"/>
      <sheetName val="Controls"/>
      <sheetName val="ИТ-бюджет"/>
      <sheetName val="БИ-2-18-П"/>
      <sheetName val="БИ-2-19-П"/>
      <sheetName val="БИ-2-7-П"/>
      <sheetName val="БИ-2-9-П"/>
      <sheetName val="БИ-2-14-П"/>
      <sheetName val="БИ-2-16-П"/>
      <sheetName val="Резервы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ередача_электро_x0000_нергии"/>
      <sheetName val="Передача_электро"/>
      <sheetName val="бф-2-8-п"/>
      <sheetName val="Передача_электро?нергии"/>
      <sheetName val="ID ПС"/>
      <sheetName val="5"/>
      <sheetName val="P2.2"/>
      <sheetName val="XLR_NoRangeSheet"/>
      <sheetName val="бдр_свод"/>
      <sheetName val="mto rev.2(armor)"/>
      <sheetName val="Curves"/>
      <sheetName val="Note"/>
      <sheetName val="Heads"/>
      <sheetName val="main gate house"/>
      <sheetName val="Dbase"/>
      <sheetName val="Tables"/>
      <sheetName val="Page 2"/>
      <sheetName val="Read me first"/>
      <sheetName val="LDE"/>
      <sheetName val="Sheet5"/>
      <sheetName val="на 1 тут"/>
      <sheetName val="Ф-1 (для АО-энерго)"/>
      <sheetName val="Ф-2 (для АО-энерго)"/>
      <sheetName val="Стоимость ЭЭ"/>
      <sheetName val="Данные"/>
      <sheetName val="ПТУ_ППП"/>
      <sheetName val="Финпоказатели"/>
      <sheetName val="Profits&amp;Loses"/>
      <sheetName val="Standard Inputs"/>
      <sheetName val="Макро"/>
      <sheetName val="гр5(о)"/>
      <sheetName val="input"/>
      <sheetName val="фин.деятельность"/>
      <sheetName val="Группы НУ"/>
      <sheetName val="нефть-объем"/>
      <sheetName val="базовые предп."/>
      <sheetName val="Инструкция"/>
      <sheetName val="Лист13"/>
      <sheetName val="бдр"/>
      <sheetName val="лист1"/>
      <sheetName val="БП-3"/>
      <sheetName val="БСС-1"/>
      <sheetName val="БУР"/>
      <sheetName val="БСФ-2"/>
      <sheetName val="БР-1"/>
      <sheetName val="ПЦ"/>
      <sheetName val="БН-2"/>
      <sheetName val="БН-1"/>
      <sheetName val="БРМ-1"/>
      <sheetName val="БП-1"/>
      <sheetName val="БКР"/>
      <sheetName val="БП-2"/>
      <sheetName val="Производство_электроэнергии2"/>
      <sheetName val="_пр-во_ЭЭ2"/>
      <sheetName val="Передача_электроэнергии2"/>
      <sheetName val="_передача_ЭЭ2"/>
      <sheetName val="Производство_теплоэнергии2"/>
      <sheetName val="_пр-во_ТЭ_параметры2"/>
      <sheetName val="Передача_теплоэнергии2"/>
      <sheetName val="Фиксированные_тарифы2"/>
      <sheetName val="Т15_12"/>
      <sheetName val="Т15_22"/>
      <sheetName val="Т15_32"/>
      <sheetName val="Т15_42"/>
      <sheetName val="Т16_12"/>
      <sheetName val="Т16_22"/>
      <sheetName val="Т16_32"/>
      <sheetName val="Т16_42"/>
      <sheetName val="Т17_12"/>
      <sheetName val="Т17_22"/>
      <sheetName val="Т17_32"/>
      <sheetName val="Т17_42"/>
      <sheetName val="Т18_12"/>
      <sheetName val="Т18_22"/>
      <sheetName val="Т19_13"/>
      <sheetName val="Т19_22"/>
      <sheetName val="Т21_12"/>
      <sheetName val="Т21_22"/>
      <sheetName val="Т21_32"/>
      <sheetName val="Т21_42"/>
      <sheetName val="Т24_12"/>
      <sheetName val="Т25_12"/>
      <sheetName val="Т28_12"/>
      <sheetName val="Т28_22"/>
      <sheetName val="Т28_32"/>
      <sheetName val="Т29_12"/>
      <sheetName val="НВВ_утв_тарифы2"/>
      <sheetName val="Tarif_300_6_2004_для_фэк_скорр2"/>
      <sheetName val="Баланс_мощности_20072"/>
      <sheetName val="ИТОГИ__по_Н,Р,Э,Q2"/>
      <sheetName val="D-Test_of_FA_Installation2"/>
      <sheetName val="Shflu_Calc1"/>
      <sheetName val="баланс_квадраты_ПЭС1"/>
      <sheetName val="Калькуляция_кв1"/>
      <sheetName val="18_21"/>
      <sheetName val="17_11"/>
      <sheetName val="21_31"/>
      <sheetName val="2_31"/>
      <sheetName val="P2_11"/>
      <sheetName val="Inputs_Sheet1"/>
      <sheetName val="Ввод_данных_Эл__11"/>
      <sheetName val="Расчет_тарифов_и_выручки1"/>
      <sheetName val="HIS_initial1"/>
      <sheetName val="Итог_по_НПО_1"/>
      <sheetName val="Баланс_(Ф1)1"/>
      <sheetName val="Table_11"/>
      <sheetName val="Таблица_А131"/>
      <sheetName val="эл_эн1"/>
      <sheetName val="сл_11_Тариф2010-20152"/>
      <sheetName val="Баланс_ээ2"/>
      <sheetName val="Баланс_мощности2"/>
      <sheetName val="Integrali_e_proporzionali1"/>
      <sheetName val="1__Subsidiary1"/>
      <sheetName val="Ген__не_уч__ОРЭМ1"/>
      <sheetName val="шаблон_для_R31"/>
      <sheetName val="Таб1_11"/>
      <sheetName val="форма-прил_к_ф№11"/>
      <sheetName val="Поставщики_и_субподрядчики1"/>
      <sheetName val="Данные_для_расчета1"/>
      <sheetName val="3_6_1"/>
      <sheetName val="Прил_11"/>
      <sheetName val="ESTI_1"/>
      <sheetName val="табл_1"/>
      <sheetName val="с_выходом_на_ПЗ"/>
      <sheetName val="Список_для_вставки01"/>
      <sheetName val="Other_software_VCR"/>
      <sheetName val="Баз_предп"/>
      <sheetName val="Форма_2_по_видам_деят-ти_(2)"/>
      <sheetName val="ID_ПС"/>
      <sheetName val="P2_2"/>
      <sheetName val="Ф-1_(для_АО-энерго)"/>
      <sheetName val="Ф-2_(для_АО-энерго)"/>
      <sheetName val="Стоимость_ЭЭ"/>
      <sheetName val="mto_rev_2(armor)"/>
      <sheetName val="main_gate_house"/>
      <sheetName val="Page_2"/>
      <sheetName val="Read_me_first"/>
      <sheetName val="на_1_тут"/>
      <sheetName val="2001"/>
      <sheetName val="эл ст"/>
      <sheetName val="Баланс по ТЭЦ-1"/>
      <sheetName val="Настройки"/>
      <sheetName val="пс рек"/>
      <sheetName val="лэп нов"/>
      <sheetName val="t_проверки"/>
      <sheetName val="Сценарные условия"/>
      <sheetName val="бд 2.3"/>
      <sheetName val="Исходные"/>
      <sheetName val="Вводные данные систем"/>
      <sheetName val="TMP"/>
      <sheetName val="Source"/>
      <sheetName val="Матрица"/>
      <sheetName val="Производство_электроэнергии3"/>
      <sheetName val="_пр-во_ЭЭ3"/>
      <sheetName val="Передача_электроэнергии3"/>
      <sheetName val="_передача_ЭЭ3"/>
      <sheetName val="Производство_теплоэнергии3"/>
      <sheetName val="_пр-во_ТЭ_параметры3"/>
      <sheetName val="Передача_теплоэнергии3"/>
      <sheetName val="Фиксированные_тарифы3"/>
      <sheetName val="Т15_13"/>
      <sheetName val="Т15_23"/>
      <sheetName val="Т15_33"/>
      <sheetName val="Т15_43"/>
      <sheetName val="Т16_13"/>
      <sheetName val="Т16_23"/>
      <sheetName val="Т16_33"/>
      <sheetName val="Т16_43"/>
      <sheetName val="Т17_13"/>
      <sheetName val="Т17_23"/>
      <sheetName val="Т17_33"/>
      <sheetName val="Т17_43"/>
      <sheetName val="Т18_13"/>
      <sheetName val="Т18_23"/>
      <sheetName val="Т19_14"/>
      <sheetName val="Т19_23"/>
      <sheetName val="Т21_13"/>
      <sheetName val="Т21_23"/>
      <sheetName val="Т21_33"/>
      <sheetName val="Т21_43"/>
      <sheetName val="Т24_13"/>
      <sheetName val="Т25_13"/>
      <sheetName val="Т28_13"/>
      <sheetName val="Т28_23"/>
      <sheetName val="Т28_33"/>
      <sheetName val="Т29_13"/>
      <sheetName val="НВВ_утв_тарифы3"/>
      <sheetName val="Tarif_300_6_2004_для_фэк_скорр3"/>
      <sheetName val="Баланс_мощности_20073"/>
      <sheetName val="ИТОГИ__по_Н,Р,Э,Q3"/>
      <sheetName val="D-Test_of_FA_Installation3"/>
      <sheetName val="Shflu_Calc2"/>
      <sheetName val="баланс_квадраты_ПЭС2"/>
      <sheetName val="Калькуляция_кв2"/>
      <sheetName val="18_22"/>
      <sheetName val="17_12"/>
      <sheetName val="21_32"/>
      <sheetName val="2_32"/>
      <sheetName val="P2_12"/>
      <sheetName val="Inputs_Sheet2"/>
      <sheetName val="Ввод_данных_Эл__12"/>
      <sheetName val="Расчет_тарифов_и_выручки2"/>
      <sheetName val="HIS_initial2"/>
      <sheetName val="Итог_по_НПО_2"/>
      <sheetName val="Баланс_(Ф1)2"/>
      <sheetName val="Table_12"/>
      <sheetName val="Таблица_А132"/>
      <sheetName val="эл_эн2"/>
      <sheetName val="сл_11_Тариф2010-20153"/>
      <sheetName val="Баланс_ээ3"/>
      <sheetName val="Баланс_мощности3"/>
      <sheetName val="Integrali_e_proporzionali2"/>
      <sheetName val="1__Subsidiary2"/>
      <sheetName val="Ген__не_уч__ОРЭМ2"/>
      <sheetName val="шаблон_для_R32"/>
      <sheetName val="Таб1_12"/>
      <sheetName val="форма-прил_к_ф№12"/>
      <sheetName val="Поставщики_и_субподрядчики2"/>
      <sheetName val="Данные_для_расчета2"/>
      <sheetName val="3_6_2"/>
      <sheetName val="Прил_12"/>
      <sheetName val="ESTI_2"/>
      <sheetName val="табл_11"/>
      <sheetName val="с_выходом_на_ПЗ1"/>
      <sheetName val="Список_для_вставки011"/>
      <sheetName val="Other_software_VCR1"/>
      <sheetName val="Баз_предп1"/>
      <sheetName val="Форма_2_по_видам_деят-ти_(2)1"/>
      <sheetName val="ID_ПС1"/>
      <sheetName val="P2_21"/>
      <sheetName val="Ф-1_(для_АО-энерго)1"/>
      <sheetName val="Ф-2_(для_АО-энерго)1"/>
      <sheetName val="Стоимость_ЭЭ1"/>
      <sheetName val="mto_rev_2(armor)1"/>
      <sheetName val="main_gate_house1"/>
      <sheetName val="Page_21"/>
      <sheetName val="Read_me_first1"/>
      <sheetName val="на_1_тут1"/>
      <sheetName val="Standard_Inputs"/>
      <sheetName val="фин_деятельность"/>
      <sheetName val="Группы_НУ"/>
      <sheetName val="базовые_предп_"/>
      <sheetName val="эл_ст"/>
      <sheetName val="Баланс_по_ТЭЦ-1"/>
      <sheetName val="пс_рек"/>
      <sheetName val="лэп_нов"/>
      <sheetName val="Сценарные_условия"/>
      <sheetName val="Вводные_данные_систем"/>
      <sheetName val="бд_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>
        <row r="39">
          <cell r="B39" t="str">
            <v>Сумма общехозяйственных расходов</v>
          </cell>
        </row>
      </sheetData>
      <sheetData sheetId="407">
        <row r="39">
          <cell r="B39" t="str">
            <v>Сумма общехозяйственных расходов</v>
          </cell>
        </row>
      </sheetData>
      <sheetData sheetId="408">
        <row r="39">
          <cell r="B39" t="str">
            <v>Сумма общехозяйственных расходов</v>
          </cell>
        </row>
      </sheetData>
      <sheetData sheetId="409">
        <row r="39">
          <cell r="B39" t="str">
            <v>Сумма общехозяйственных расходов</v>
          </cell>
        </row>
      </sheetData>
      <sheetData sheetId="410">
        <row r="39">
          <cell r="B39" t="str">
            <v>Сумма общехозяйственных расходов</v>
          </cell>
        </row>
      </sheetData>
      <sheetData sheetId="411">
        <row r="39">
          <cell r="B39" t="str">
            <v>Сумма общехозяйственных расходов</v>
          </cell>
        </row>
      </sheetData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>
        <row r="39">
          <cell r="B39" t="str">
            <v>Сумма общехозяйственных расходов</v>
          </cell>
        </row>
      </sheetData>
      <sheetData sheetId="432">
        <row r="39">
          <cell r="B39" t="str">
            <v>Сумма общехозяйственных расходов</v>
          </cell>
        </row>
      </sheetData>
      <sheetData sheetId="433">
        <row r="39">
          <cell r="B39" t="str">
            <v>Сумма общехозяйственных расходов</v>
          </cell>
        </row>
      </sheetData>
      <sheetData sheetId="434">
        <row r="39">
          <cell r="B39" t="str">
            <v>Сумма общехозяйственных расходов</v>
          </cell>
        </row>
      </sheetData>
      <sheetData sheetId="435">
        <row r="39">
          <cell r="B39" t="str">
            <v>Сумма общехозяйственных расходов</v>
          </cell>
        </row>
      </sheetData>
      <sheetData sheetId="436">
        <row r="39">
          <cell r="B39" t="str">
            <v>Сумма общехозяйственных расходов</v>
          </cell>
        </row>
      </sheetData>
      <sheetData sheetId="437">
        <row r="39">
          <cell r="B39" t="str">
            <v>Сумма общехозяйственных расходов</v>
          </cell>
        </row>
      </sheetData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>
        <row r="39">
          <cell r="B39" t="str">
            <v>Сумма общехозяйственных расходов</v>
          </cell>
        </row>
      </sheetData>
      <sheetData sheetId="447">
        <row r="39">
          <cell r="B39" t="str">
            <v>Сумма общехозяйственных расходов</v>
          </cell>
        </row>
      </sheetData>
      <sheetData sheetId="448">
        <row r="39">
          <cell r="B39" t="str">
            <v>Сумма общехозяйственных расходов</v>
          </cell>
        </row>
      </sheetData>
      <sheetData sheetId="449">
        <row r="39">
          <cell r="B39" t="str">
            <v>Сумма общехозяйственных расходов</v>
          </cell>
        </row>
      </sheetData>
      <sheetData sheetId="450">
        <row r="39">
          <cell r="B39" t="str">
            <v>Сумма общехозяйственных расходов</v>
          </cell>
        </row>
      </sheetData>
      <sheetData sheetId="451">
        <row r="39">
          <cell r="B39" t="str">
            <v>Сумма общехозяйственных расходов</v>
          </cell>
        </row>
      </sheetData>
      <sheetData sheetId="452">
        <row r="39">
          <cell r="B39" t="str">
            <v>Сумма общехозяйственных расходов</v>
          </cell>
        </row>
      </sheetData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>
        <row r="39">
          <cell r="B39" t="str">
            <v>Сумма общехозяйственных расходов</v>
          </cell>
        </row>
      </sheetData>
      <sheetData sheetId="462">
        <row r="39">
          <cell r="B39" t="str">
            <v>Сумма общехозяйственных расходов</v>
          </cell>
        </row>
      </sheetData>
      <sheetData sheetId="463">
        <row r="39">
          <cell r="B39" t="str">
            <v>Сумма общехозяйственных расходов</v>
          </cell>
        </row>
      </sheetData>
      <sheetData sheetId="464">
        <row r="39">
          <cell r="B39" t="str">
            <v>Сумма общехозяйственных расходов</v>
          </cell>
        </row>
      </sheetData>
      <sheetData sheetId="465">
        <row r="39">
          <cell r="B39" t="str">
            <v>Сумма общехозяйственных расходов</v>
          </cell>
        </row>
      </sheetData>
      <sheetData sheetId="466">
        <row r="39">
          <cell r="B39" t="str">
            <v>Сумма общехозяйственных расходов</v>
          </cell>
        </row>
      </sheetData>
      <sheetData sheetId="467">
        <row r="39">
          <cell r="B39" t="str">
            <v>Сумма общехозяйственных расходов</v>
          </cell>
        </row>
      </sheetData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>
        <row r="39">
          <cell r="B39" t="str">
            <v>Сумма общехозяйственных расходов</v>
          </cell>
        </row>
      </sheetData>
      <sheetData sheetId="477">
        <row r="39">
          <cell r="B39" t="str">
            <v>Сумма общехозяйственных расходов</v>
          </cell>
        </row>
      </sheetData>
      <sheetData sheetId="478">
        <row r="39">
          <cell r="B39" t="str">
            <v>Сумма общехозяйственных расходов</v>
          </cell>
        </row>
      </sheetData>
      <sheetData sheetId="479">
        <row r="39">
          <cell r="B39" t="str">
            <v>Сумма общехозяйственных расходов</v>
          </cell>
        </row>
      </sheetData>
      <sheetData sheetId="480">
        <row r="39">
          <cell r="B39" t="str">
            <v>Сумма общехозяйственных расходов</v>
          </cell>
        </row>
      </sheetData>
      <sheetData sheetId="481">
        <row r="39">
          <cell r="B39" t="str">
            <v>Сумма общехозяйственных расходов</v>
          </cell>
        </row>
      </sheetData>
      <sheetData sheetId="482">
        <row r="39">
          <cell r="B39" t="str">
            <v>Сумма общехозяйственных расходов</v>
          </cell>
        </row>
      </sheetData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>
        <row r="39">
          <cell r="B39" t="str">
            <v>Сумма общехозяйственных расходов</v>
          </cell>
        </row>
      </sheetData>
      <sheetData sheetId="492">
        <row r="39">
          <cell r="B39" t="str">
            <v>Сумма общехозяйственных расходов</v>
          </cell>
        </row>
      </sheetData>
      <sheetData sheetId="493">
        <row r="39">
          <cell r="B39" t="str">
            <v>Сумма общехозяйственных расходов</v>
          </cell>
        </row>
      </sheetData>
      <sheetData sheetId="494">
        <row r="39">
          <cell r="B39" t="str">
            <v>Сумма общехозяйственных расходов</v>
          </cell>
        </row>
      </sheetData>
      <sheetData sheetId="495">
        <row r="39">
          <cell r="B39" t="str">
            <v>Сумма общехозяйственных расходов</v>
          </cell>
        </row>
      </sheetData>
      <sheetData sheetId="496">
        <row r="39">
          <cell r="B39" t="str">
            <v>Сумма общехозяйственных расходов</v>
          </cell>
        </row>
      </sheetData>
      <sheetData sheetId="497">
        <row r="39">
          <cell r="B39" t="str">
            <v>Сумма общехозяйственных расходов</v>
          </cell>
        </row>
      </sheetData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>
        <row r="39">
          <cell r="B39" t="str">
            <v>Сумма общехозяйственных расходов</v>
          </cell>
        </row>
      </sheetData>
      <sheetData sheetId="578">
        <row r="39">
          <cell r="B39" t="str">
            <v>Сумма общехозяйственных расходов</v>
          </cell>
        </row>
      </sheetData>
      <sheetData sheetId="579">
        <row r="39">
          <cell r="B39" t="str">
            <v>Сумма общехозяйственных расходов</v>
          </cell>
        </row>
      </sheetData>
      <sheetData sheetId="580">
        <row r="39">
          <cell r="B39" t="str">
            <v>Сумма общехозяйственных расходов</v>
          </cell>
        </row>
      </sheetData>
      <sheetData sheetId="581">
        <row r="39">
          <cell r="B39" t="str">
            <v>Сумма общехозяйственных расходов</v>
          </cell>
        </row>
      </sheetData>
      <sheetData sheetId="582">
        <row r="39">
          <cell r="B39" t="str">
            <v>Сумма общехозяйственных расходов</v>
          </cell>
        </row>
      </sheetData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Main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SET"/>
      <sheetName val="гр5(о)"/>
      <sheetName val="Сводка - лизинг"/>
      <sheetName val="Справочники"/>
      <sheetName val="17"/>
      <sheetName val="24"/>
      <sheetName val="25"/>
      <sheetName val="4"/>
      <sheetName val="5"/>
      <sheetName val="Ф_1 _для АО_энерго_"/>
      <sheetName val="Ф_2 _для АО_энерго_"/>
      <sheetName val="баланс квадраты пэс"/>
      <sheetName val="mtl$-inter"/>
      <sheetName val="Организации"/>
      <sheetName val="Предлагаемая новая форма СТРС"/>
      <sheetName val="17 СМУП"/>
      <sheetName val="share price 2002"/>
      <sheetName val="MTO REV.0"/>
      <sheetName val="см_2 шатурс сети  проект работы"/>
      <sheetName val="28"/>
      <sheetName val="29"/>
      <sheetName val="20"/>
      <sheetName val="21"/>
      <sheetName val="23"/>
      <sheetName val="26"/>
      <sheetName val="27"/>
      <sheetName val="19"/>
      <sheetName val="22"/>
      <sheetName val="ИП"/>
      <sheetName val="Применение"/>
      <sheetName val="ставки "/>
      <sheetName val="ЭСО"/>
      <sheetName val="сбыт"/>
      <sheetName val="Ген. не уч. ОРЭМ"/>
      <sheetName val="Свод"/>
      <sheetName val="Контроль"/>
      <sheetName val="РЧА_новый2"/>
      <sheetName val="Прилож_12"/>
      <sheetName val="P2_12"/>
      <sheetName val="P2_22"/>
      <sheetName val="эл_ст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ИТОГИ__по_Н,Р,Э,Q2"/>
      <sheetName val="Таб1_12"/>
      <sheetName val="Огл__Графиков1"/>
      <sheetName val="Текущие_цены1"/>
      <sheetName val="Сводка_-_лизинг"/>
      <sheetName val="Ф_1__для_АО_энерго_"/>
      <sheetName val="Ф_2__для_АО_энерго_"/>
      <sheetName val="баланс_квадраты_пэс"/>
      <sheetName val="Предлагаемая_новая_форма_СТРС"/>
      <sheetName val="17_СМУП"/>
      <sheetName val="форма 7 (скважины)"/>
      <sheetName val="6 Списки"/>
      <sheetName val="Лист3"/>
      <sheetName val="Лист7"/>
      <sheetName val="Титульный"/>
      <sheetName val="перекрестка"/>
      <sheetName val="16"/>
      <sheetName val="18.2"/>
      <sheetName val="6"/>
      <sheetName val="15"/>
      <sheetName val="17.1"/>
      <sheetName val="2.3"/>
      <sheetName val="ВСПОМОГАТ"/>
      <sheetName val="Производство электроэнергии"/>
      <sheetName val="регионы"/>
      <sheetName val="t_настройки"/>
      <sheetName val="РЧА_новый3"/>
      <sheetName val="Прилож_13"/>
      <sheetName val="P2_13"/>
      <sheetName val="P2_23"/>
      <sheetName val="эл_ст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ИТОГИ__по_Н,Р,Э,Q3"/>
      <sheetName val="Таб1_13"/>
      <sheetName val="Огл__Графиков2"/>
      <sheetName val="Текущие_цены2"/>
      <sheetName val="Сводка_-_лизинг1"/>
      <sheetName val="Ф_1__для_АО_энерго_1"/>
      <sheetName val="Ф_2__для_АО_энерго_1"/>
      <sheetName val="баланс_квадраты_пэс1"/>
      <sheetName val="Предлагаемая_новая_форма_СТРС1"/>
      <sheetName val="17_СМУП1"/>
      <sheetName val="share_price_2002"/>
      <sheetName val="MTO_REV_0"/>
      <sheetName val="см_2_шатурс_сети__проект_работы"/>
      <sheetName val="ставки_"/>
      <sheetName val="Ген__не_уч__ОРЭМ"/>
      <sheetName val="форма_7_(скважины)"/>
      <sheetName val="6_Списки"/>
      <sheetName val="18_2"/>
      <sheetName val="17_1"/>
      <sheetName val="2_3"/>
      <sheetName val="Производство_электроэнергии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Справочники"/>
      <sheetName val="28"/>
      <sheetName val="29"/>
      <sheetName val="20"/>
      <sheetName val="21"/>
      <sheetName val="23"/>
      <sheetName val="25"/>
      <sheetName val="26"/>
      <sheetName val="27"/>
      <sheetName val="19"/>
      <sheetName val="22"/>
      <sheetName val="24"/>
      <sheetName val="Main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tulges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opLeftCell="A10" workbookViewId="0">
      <selection activeCell="B5" sqref="B5"/>
    </sheetView>
  </sheetViews>
  <sheetFormatPr defaultRowHeight="13.2"/>
  <cols>
    <col min="4" max="4" width="13.6640625" customWidth="1"/>
  </cols>
  <sheetData>
    <row r="1" spans="1:11" ht="15.6">
      <c r="A1" s="1"/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5.6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1:11" ht="15.6">
      <c r="A3" s="1"/>
      <c r="B3" s="3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1:11" ht="15.6">
      <c r="A4" s="1"/>
      <c r="B4" s="1" t="s">
        <v>1295</v>
      </c>
      <c r="C4" s="1"/>
      <c r="D4" s="1"/>
      <c r="E4" s="1"/>
      <c r="F4" s="1"/>
      <c r="G4" s="1"/>
      <c r="H4" s="1"/>
      <c r="I4" s="1"/>
      <c r="J4" s="1"/>
      <c r="K4" s="1"/>
    </row>
    <row r="5" spans="1:11" ht="15.6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6">
      <c r="A6" s="1"/>
      <c r="B6" s="2"/>
      <c r="C6" s="1"/>
      <c r="D6" s="1"/>
      <c r="E6" s="1"/>
      <c r="F6" s="1"/>
      <c r="G6" s="1"/>
      <c r="H6" s="1"/>
      <c r="I6" s="1"/>
      <c r="J6" s="1"/>
      <c r="K6" s="1"/>
    </row>
    <row r="7" spans="1:11" ht="15.6">
      <c r="A7" s="1"/>
      <c r="B7" s="1" t="s">
        <v>99</v>
      </c>
      <c r="C7" s="1"/>
      <c r="D7" s="1"/>
      <c r="E7" s="1"/>
      <c r="F7" s="1"/>
      <c r="G7" s="1"/>
      <c r="H7" s="1"/>
      <c r="I7" s="1"/>
      <c r="J7" s="1"/>
      <c r="K7" s="1"/>
    </row>
    <row r="8" spans="1:11" ht="15.6">
      <c r="A8" s="1"/>
      <c r="B8" s="2"/>
      <c r="C8" s="1"/>
      <c r="D8" s="1"/>
      <c r="E8" s="1"/>
      <c r="F8" s="1"/>
      <c r="G8" s="1"/>
      <c r="H8" s="1"/>
      <c r="I8" s="1"/>
      <c r="J8" s="1"/>
      <c r="K8" s="1"/>
    </row>
    <row r="9" spans="1:11" ht="15.6">
      <c r="A9" s="1"/>
      <c r="B9" s="1" t="s">
        <v>1294</v>
      </c>
      <c r="C9" s="1"/>
      <c r="D9" s="1"/>
      <c r="E9" s="1"/>
      <c r="F9" s="1"/>
      <c r="G9" s="1"/>
      <c r="H9" s="1"/>
      <c r="I9" s="1"/>
      <c r="J9" s="1"/>
      <c r="K9" s="1"/>
    </row>
    <row r="10" spans="1:11" ht="15.6">
      <c r="A10" s="1"/>
      <c r="B10" s="2"/>
      <c r="C10" s="1"/>
      <c r="D10" s="1"/>
      <c r="E10" s="1"/>
      <c r="F10" s="1"/>
      <c r="G10" s="1"/>
      <c r="H10" s="1"/>
      <c r="I10" s="1"/>
      <c r="J10" s="1"/>
      <c r="K10" s="1"/>
    </row>
    <row r="11" spans="1:11" ht="15.6">
      <c r="A11" s="1"/>
      <c r="B11" s="1" t="s">
        <v>100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6">
      <c r="A12" s="1"/>
      <c r="B12" s="2"/>
      <c r="C12" s="1"/>
      <c r="D12" s="1"/>
      <c r="E12" s="1"/>
      <c r="F12" s="1"/>
      <c r="G12" s="1"/>
      <c r="H12" s="1"/>
      <c r="I12" s="1"/>
      <c r="J12" s="1"/>
      <c r="K12" s="1"/>
    </row>
    <row r="13" spans="1:11" ht="15.6">
      <c r="A13" s="1"/>
      <c r="B13" s="1" t="s">
        <v>101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ht="15.6">
      <c r="A14" s="1"/>
      <c r="B14" s="2"/>
      <c r="C14" s="1"/>
      <c r="D14" s="1"/>
      <c r="E14" s="1"/>
      <c r="F14" s="1"/>
      <c r="G14" s="1"/>
      <c r="H14" s="1"/>
      <c r="I14" s="1"/>
      <c r="J14" s="1"/>
      <c r="K14" s="1"/>
    </row>
    <row r="15" spans="1:11" ht="15.6">
      <c r="A15" s="1"/>
      <c r="B15" s="1" t="s">
        <v>2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ht="15.6">
      <c r="A16" s="1"/>
      <c r="B16" s="2"/>
      <c r="C16" s="1"/>
      <c r="D16" s="1"/>
      <c r="E16" s="1"/>
      <c r="F16" s="1"/>
      <c r="G16" s="1"/>
      <c r="H16" s="1"/>
      <c r="I16" s="1"/>
      <c r="J16" s="1"/>
      <c r="K16" s="1"/>
    </row>
    <row r="17" spans="1:11" ht="15.6">
      <c r="A17" s="1"/>
      <c r="B17" s="1" t="s">
        <v>3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ht="15.6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</row>
    <row r="19" spans="1:11" ht="15.6">
      <c r="A19" s="1"/>
      <c r="B19" s="1" t="s">
        <v>1293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ht="15.6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 ht="15.6">
      <c r="A21" s="1"/>
      <c r="B21" s="1" t="s">
        <v>102</v>
      </c>
      <c r="C21" s="1"/>
      <c r="D21" s="1"/>
      <c r="E21" s="4" t="s">
        <v>728</v>
      </c>
      <c r="F21" s="1"/>
      <c r="G21" s="1"/>
      <c r="H21" s="1"/>
      <c r="I21" s="1"/>
      <c r="J21" s="1"/>
      <c r="K21" s="1"/>
    </row>
    <row r="22" spans="1:11" ht="15.6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</row>
    <row r="23" spans="1:11" ht="15.6">
      <c r="A23" s="1"/>
      <c r="B23" s="1" t="s">
        <v>727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ht="15.6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</row>
    <row r="25" spans="1:11" ht="15.6">
      <c r="A25" s="1"/>
      <c r="B25" s="1" t="s">
        <v>98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ht="15.6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</row>
    <row r="27" spans="1:11" ht="15.6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</row>
    <row r="28" spans="1:11" ht="15.6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</row>
    <row r="29" spans="1:11" ht="15.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hyperlinks>
    <hyperlink ref="E21" r:id="rId1"/>
  </hyperlinks>
  <pageMargins left="0.51181102362204722" right="0.31496062992125984" top="0.74803149606299213" bottom="0.74803149606299213" header="0.31496062992125984" footer="0.31496062992125984"/>
  <pageSetup paperSize="9" scale="9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14"/>
  <sheetViews>
    <sheetView view="pageBreakPreview" zoomScaleNormal="100" zoomScaleSheetLayoutView="100" workbookViewId="0">
      <selection activeCell="CF13" sqref="CF13:DA13"/>
    </sheetView>
  </sheetViews>
  <sheetFormatPr defaultColWidth="0.88671875" defaultRowHeight="15.6"/>
  <cols>
    <col min="1" max="69" width="0.88671875" style="6"/>
    <col min="70" max="70" width="0.88671875" style="6" customWidth="1"/>
    <col min="71" max="73" width="0.88671875" style="6"/>
    <col min="74" max="74" width="0.88671875" style="6" customWidth="1"/>
    <col min="75" max="86" width="0.88671875" style="6"/>
    <col min="87" max="88" width="0.88671875" style="6" customWidth="1"/>
    <col min="89" max="325" width="0.88671875" style="6"/>
    <col min="326" max="326" width="0.88671875" style="6" customWidth="1"/>
    <col min="327" max="329" width="0.88671875" style="6"/>
    <col min="330" max="330" width="0.88671875" style="6" customWidth="1"/>
    <col min="331" max="342" width="0.88671875" style="6"/>
    <col min="343" max="344" width="0.88671875" style="6" customWidth="1"/>
    <col min="345" max="581" width="0.88671875" style="6"/>
    <col min="582" max="582" width="0.88671875" style="6" customWidth="1"/>
    <col min="583" max="585" width="0.88671875" style="6"/>
    <col min="586" max="586" width="0.88671875" style="6" customWidth="1"/>
    <col min="587" max="598" width="0.88671875" style="6"/>
    <col min="599" max="600" width="0.88671875" style="6" customWidth="1"/>
    <col min="601" max="837" width="0.88671875" style="6"/>
    <col min="838" max="838" width="0.88671875" style="6" customWidth="1"/>
    <col min="839" max="841" width="0.88671875" style="6"/>
    <col min="842" max="842" width="0.88671875" style="6" customWidth="1"/>
    <col min="843" max="854" width="0.88671875" style="6"/>
    <col min="855" max="856" width="0.88671875" style="6" customWidth="1"/>
    <col min="857" max="1093" width="0.88671875" style="6"/>
    <col min="1094" max="1094" width="0.88671875" style="6" customWidth="1"/>
    <col min="1095" max="1097" width="0.88671875" style="6"/>
    <col min="1098" max="1098" width="0.88671875" style="6" customWidth="1"/>
    <col min="1099" max="1110" width="0.88671875" style="6"/>
    <col min="1111" max="1112" width="0.88671875" style="6" customWidth="1"/>
    <col min="1113" max="1349" width="0.88671875" style="6"/>
    <col min="1350" max="1350" width="0.88671875" style="6" customWidth="1"/>
    <col min="1351" max="1353" width="0.88671875" style="6"/>
    <col min="1354" max="1354" width="0.88671875" style="6" customWidth="1"/>
    <col min="1355" max="1366" width="0.88671875" style="6"/>
    <col min="1367" max="1368" width="0.88671875" style="6" customWidth="1"/>
    <col min="1369" max="1605" width="0.88671875" style="6"/>
    <col min="1606" max="1606" width="0.88671875" style="6" customWidth="1"/>
    <col min="1607" max="1609" width="0.88671875" style="6"/>
    <col min="1610" max="1610" width="0.88671875" style="6" customWidth="1"/>
    <col min="1611" max="1622" width="0.88671875" style="6"/>
    <col min="1623" max="1624" width="0.88671875" style="6" customWidth="1"/>
    <col min="1625" max="1861" width="0.88671875" style="6"/>
    <col min="1862" max="1862" width="0.88671875" style="6" customWidth="1"/>
    <col min="1863" max="1865" width="0.88671875" style="6"/>
    <col min="1866" max="1866" width="0.88671875" style="6" customWidth="1"/>
    <col min="1867" max="1878" width="0.88671875" style="6"/>
    <col min="1879" max="1880" width="0.88671875" style="6" customWidth="1"/>
    <col min="1881" max="2117" width="0.88671875" style="6"/>
    <col min="2118" max="2118" width="0.88671875" style="6" customWidth="1"/>
    <col min="2119" max="2121" width="0.88671875" style="6"/>
    <col min="2122" max="2122" width="0.88671875" style="6" customWidth="1"/>
    <col min="2123" max="2134" width="0.88671875" style="6"/>
    <col min="2135" max="2136" width="0.88671875" style="6" customWidth="1"/>
    <col min="2137" max="2373" width="0.88671875" style="6"/>
    <col min="2374" max="2374" width="0.88671875" style="6" customWidth="1"/>
    <col min="2375" max="2377" width="0.88671875" style="6"/>
    <col min="2378" max="2378" width="0.88671875" style="6" customWidth="1"/>
    <col min="2379" max="2390" width="0.88671875" style="6"/>
    <col min="2391" max="2392" width="0.88671875" style="6" customWidth="1"/>
    <col min="2393" max="2629" width="0.88671875" style="6"/>
    <col min="2630" max="2630" width="0.88671875" style="6" customWidth="1"/>
    <col min="2631" max="2633" width="0.88671875" style="6"/>
    <col min="2634" max="2634" width="0.88671875" style="6" customWidth="1"/>
    <col min="2635" max="2646" width="0.88671875" style="6"/>
    <col min="2647" max="2648" width="0.88671875" style="6" customWidth="1"/>
    <col min="2649" max="2885" width="0.88671875" style="6"/>
    <col min="2886" max="2886" width="0.88671875" style="6" customWidth="1"/>
    <col min="2887" max="2889" width="0.88671875" style="6"/>
    <col min="2890" max="2890" width="0.88671875" style="6" customWidth="1"/>
    <col min="2891" max="2902" width="0.88671875" style="6"/>
    <col min="2903" max="2904" width="0.88671875" style="6" customWidth="1"/>
    <col min="2905" max="3141" width="0.88671875" style="6"/>
    <col min="3142" max="3142" width="0.88671875" style="6" customWidth="1"/>
    <col min="3143" max="3145" width="0.88671875" style="6"/>
    <col min="3146" max="3146" width="0.88671875" style="6" customWidth="1"/>
    <col min="3147" max="3158" width="0.88671875" style="6"/>
    <col min="3159" max="3160" width="0.88671875" style="6" customWidth="1"/>
    <col min="3161" max="3397" width="0.88671875" style="6"/>
    <col min="3398" max="3398" width="0.88671875" style="6" customWidth="1"/>
    <col min="3399" max="3401" width="0.88671875" style="6"/>
    <col min="3402" max="3402" width="0.88671875" style="6" customWidth="1"/>
    <col min="3403" max="3414" width="0.88671875" style="6"/>
    <col min="3415" max="3416" width="0.88671875" style="6" customWidth="1"/>
    <col min="3417" max="3653" width="0.88671875" style="6"/>
    <col min="3654" max="3654" width="0.88671875" style="6" customWidth="1"/>
    <col min="3655" max="3657" width="0.88671875" style="6"/>
    <col min="3658" max="3658" width="0.88671875" style="6" customWidth="1"/>
    <col min="3659" max="3670" width="0.88671875" style="6"/>
    <col min="3671" max="3672" width="0.88671875" style="6" customWidth="1"/>
    <col min="3673" max="3909" width="0.88671875" style="6"/>
    <col min="3910" max="3910" width="0.88671875" style="6" customWidth="1"/>
    <col min="3911" max="3913" width="0.88671875" style="6"/>
    <col min="3914" max="3914" width="0.88671875" style="6" customWidth="1"/>
    <col min="3915" max="3926" width="0.88671875" style="6"/>
    <col min="3927" max="3928" width="0.88671875" style="6" customWidth="1"/>
    <col min="3929" max="4165" width="0.88671875" style="6"/>
    <col min="4166" max="4166" width="0.88671875" style="6" customWidth="1"/>
    <col min="4167" max="4169" width="0.88671875" style="6"/>
    <col min="4170" max="4170" width="0.88671875" style="6" customWidth="1"/>
    <col min="4171" max="4182" width="0.88671875" style="6"/>
    <col min="4183" max="4184" width="0.88671875" style="6" customWidth="1"/>
    <col min="4185" max="4421" width="0.88671875" style="6"/>
    <col min="4422" max="4422" width="0.88671875" style="6" customWidth="1"/>
    <col min="4423" max="4425" width="0.88671875" style="6"/>
    <col min="4426" max="4426" width="0.88671875" style="6" customWidth="1"/>
    <col min="4427" max="4438" width="0.88671875" style="6"/>
    <col min="4439" max="4440" width="0.88671875" style="6" customWidth="1"/>
    <col min="4441" max="4677" width="0.88671875" style="6"/>
    <col min="4678" max="4678" width="0.88671875" style="6" customWidth="1"/>
    <col min="4679" max="4681" width="0.88671875" style="6"/>
    <col min="4682" max="4682" width="0.88671875" style="6" customWidth="1"/>
    <col min="4683" max="4694" width="0.88671875" style="6"/>
    <col min="4695" max="4696" width="0.88671875" style="6" customWidth="1"/>
    <col min="4697" max="4933" width="0.88671875" style="6"/>
    <col min="4934" max="4934" width="0.88671875" style="6" customWidth="1"/>
    <col min="4935" max="4937" width="0.88671875" style="6"/>
    <col min="4938" max="4938" width="0.88671875" style="6" customWidth="1"/>
    <col min="4939" max="4950" width="0.88671875" style="6"/>
    <col min="4951" max="4952" width="0.88671875" style="6" customWidth="1"/>
    <col min="4953" max="5189" width="0.88671875" style="6"/>
    <col min="5190" max="5190" width="0.88671875" style="6" customWidth="1"/>
    <col min="5191" max="5193" width="0.88671875" style="6"/>
    <col min="5194" max="5194" width="0.88671875" style="6" customWidth="1"/>
    <col min="5195" max="5206" width="0.88671875" style="6"/>
    <col min="5207" max="5208" width="0.88671875" style="6" customWidth="1"/>
    <col min="5209" max="5445" width="0.88671875" style="6"/>
    <col min="5446" max="5446" width="0.88671875" style="6" customWidth="1"/>
    <col min="5447" max="5449" width="0.88671875" style="6"/>
    <col min="5450" max="5450" width="0.88671875" style="6" customWidth="1"/>
    <col min="5451" max="5462" width="0.88671875" style="6"/>
    <col min="5463" max="5464" width="0.88671875" style="6" customWidth="1"/>
    <col min="5465" max="5701" width="0.88671875" style="6"/>
    <col min="5702" max="5702" width="0.88671875" style="6" customWidth="1"/>
    <col min="5703" max="5705" width="0.88671875" style="6"/>
    <col min="5706" max="5706" width="0.88671875" style="6" customWidth="1"/>
    <col min="5707" max="5718" width="0.88671875" style="6"/>
    <col min="5719" max="5720" width="0.88671875" style="6" customWidth="1"/>
    <col min="5721" max="5957" width="0.88671875" style="6"/>
    <col min="5958" max="5958" width="0.88671875" style="6" customWidth="1"/>
    <col min="5959" max="5961" width="0.88671875" style="6"/>
    <col min="5962" max="5962" width="0.88671875" style="6" customWidth="1"/>
    <col min="5963" max="5974" width="0.88671875" style="6"/>
    <col min="5975" max="5976" width="0.88671875" style="6" customWidth="1"/>
    <col min="5977" max="6213" width="0.88671875" style="6"/>
    <col min="6214" max="6214" width="0.88671875" style="6" customWidth="1"/>
    <col min="6215" max="6217" width="0.88671875" style="6"/>
    <col min="6218" max="6218" width="0.88671875" style="6" customWidth="1"/>
    <col min="6219" max="6230" width="0.88671875" style="6"/>
    <col min="6231" max="6232" width="0.88671875" style="6" customWidth="1"/>
    <col min="6233" max="6469" width="0.88671875" style="6"/>
    <col min="6470" max="6470" width="0.88671875" style="6" customWidth="1"/>
    <col min="6471" max="6473" width="0.88671875" style="6"/>
    <col min="6474" max="6474" width="0.88671875" style="6" customWidth="1"/>
    <col min="6475" max="6486" width="0.88671875" style="6"/>
    <col min="6487" max="6488" width="0.88671875" style="6" customWidth="1"/>
    <col min="6489" max="6725" width="0.88671875" style="6"/>
    <col min="6726" max="6726" width="0.88671875" style="6" customWidth="1"/>
    <col min="6727" max="6729" width="0.88671875" style="6"/>
    <col min="6730" max="6730" width="0.88671875" style="6" customWidth="1"/>
    <col min="6731" max="6742" width="0.88671875" style="6"/>
    <col min="6743" max="6744" width="0.88671875" style="6" customWidth="1"/>
    <col min="6745" max="6981" width="0.88671875" style="6"/>
    <col min="6982" max="6982" width="0.88671875" style="6" customWidth="1"/>
    <col min="6983" max="6985" width="0.88671875" style="6"/>
    <col min="6986" max="6986" width="0.88671875" style="6" customWidth="1"/>
    <col min="6987" max="6998" width="0.88671875" style="6"/>
    <col min="6999" max="7000" width="0.88671875" style="6" customWidth="1"/>
    <col min="7001" max="7237" width="0.88671875" style="6"/>
    <col min="7238" max="7238" width="0.88671875" style="6" customWidth="1"/>
    <col min="7239" max="7241" width="0.88671875" style="6"/>
    <col min="7242" max="7242" width="0.88671875" style="6" customWidth="1"/>
    <col min="7243" max="7254" width="0.88671875" style="6"/>
    <col min="7255" max="7256" width="0.88671875" style="6" customWidth="1"/>
    <col min="7257" max="7493" width="0.88671875" style="6"/>
    <col min="7494" max="7494" width="0.88671875" style="6" customWidth="1"/>
    <col min="7495" max="7497" width="0.88671875" style="6"/>
    <col min="7498" max="7498" width="0.88671875" style="6" customWidth="1"/>
    <col min="7499" max="7510" width="0.88671875" style="6"/>
    <col min="7511" max="7512" width="0.88671875" style="6" customWidth="1"/>
    <col min="7513" max="7749" width="0.88671875" style="6"/>
    <col min="7750" max="7750" width="0.88671875" style="6" customWidth="1"/>
    <col min="7751" max="7753" width="0.88671875" style="6"/>
    <col min="7754" max="7754" width="0.88671875" style="6" customWidth="1"/>
    <col min="7755" max="7766" width="0.88671875" style="6"/>
    <col min="7767" max="7768" width="0.88671875" style="6" customWidth="1"/>
    <col min="7769" max="8005" width="0.88671875" style="6"/>
    <col min="8006" max="8006" width="0.88671875" style="6" customWidth="1"/>
    <col min="8007" max="8009" width="0.88671875" style="6"/>
    <col min="8010" max="8010" width="0.88671875" style="6" customWidth="1"/>
    <col min="8011" max="8022" width="0.88671875" style="6"/>
    <col min="8023" max="8024" width="0.88671875" style="6" customWidth="1"/>
    <col min="8025" max="8261" width="0.88671875" style="6"/>
    <col min="8262" max="8262" width="0.88671875" style="6" customWidth="1"/>
    <col min="8263" max="8265" width="0.88671875" style="6"/>
    <col min="8266" max="8266" width="0.88671875" style="6" customWidth="1"/>
    <col min="8267" max="8278" width="0.88671875" style="6"/>
    <col min="8279" max="8280" width="0.88671875" style="6" customWidth="1"/>
    <col min="8281" max="8517" width="0.88671875" style="6"/>
    <col min="8518" max="8518" width="0.88671875" style="6" customWidth="1"/>
    <col min="8519" max="8521" width="0.88671875" style="6"/>
    <col min="8522" max="8522" width="0.88671875" style="6" customWidth="1"/>
    <col min="8523" max="8534" width="0.88671875" style="6"/>
    <col min="8535" max="8536" width="0.88671875" style="6" customWidth="1"/>
    <col min="8537" max="8773" width="0.88671875" style="6"/>
    <col min="8774" max="8774" width="0.88671875" style="6" customWidth="1"/>
    <col min="8775" max="8777" width="0.88671875" style="6"/>
    <col min="8778" max="8778" width="0.88671875" style="6" customWidth="1"/>
    <col min="8779" max="8790" width="0.88671875" style="6"/>
    <col min="8791" max="8792" width="0.88671875" style="6" customWidth="1"/>
    <col min="8793" max="9029" width="0.88671875" style="6"/>
    <col min="9030" max="9030" width="0.88671875" style="6" customWidth="1"/>
    <col min="9031" max="9033" width="0.88671875" style="6"/>
    <col min="9034" max="9034" width="0.88671875" style="6" customWidth="1"/>
    <col min="9035" max="9046" width="0.88671875" style="6"/>
    <col min="9047" max="9048" width="0.88671875" style="6" customWidth="1"/>
    <col min="9049" max="9285" width="0.88671875" style="6"/>
    <col min="9286" max="9286" width="0.88671875" style="6" customWidth="1"/>
    <col min="9287" max="9289" width="0.88671875" style="6"/>
    <col min="9290" max="9290" width="0.88671875" style="6" customWidth="1"/>
    <col min="9291" max="9302" width="0.88671875" style="6"/>
    <col min="9303" max="9304" width="0.88671875" style="6" customWidth="1"/>
    <col min="9305" max="9541" width="0.88671875" style="6"/>
    <col min="9542" max="9542" width="0.88671875" style="6" customWidth="1"/>
    <col min="9543" max="9545" width="0.88671875" style="6"/>
    <col min="9546" max="9546" width="0.88671875" style="6" customWidth="1"/>
    <col min="9547" max="9558" width="0.88671875" style="6"/>
    <col min="9559" max="9560" width="0.88671875" style="6" customWidth="1"/>
    <col min="9561" max="9797" width="0.88671875" style="6"/>
    <col min="9798" max="9798" width="0.88671875" style="6" customWidth="1"/>
    <col min="9799" max="9801" width="0.88671875" style="6"/>
    <col min="9802" max="9802" width="0.88671875" style="6" customWidth="1"/>
    <col min="9803" max="9814" width="0.88671875" style="6"/>
    <col min="9815" max="9816" width="0.88671875" style="6" customWidth="1"/>
    <col min="9817" max="10053" width="0.88671875" style="6"/>
    <col min="10054" max="10054" width="0.88671875" style="6" customWidth="1"/>
    <col min="10055" max="10057" width="0.88671875" style="6"/>
    <col min="10058" max="10058" width="0.88671875" style="6" customWidth="1"/>
    <col min="10059" max="10070" width="0.88671875" style="6"/>
    <col min="10071" max="10072" width="0.88671875" style="6" customWidth="1"/>
    <col min="10073" max="10309" width="0.88671875" style="6"/>
    <col min="10310" max="10310" width="0.88671875" style="6" customWidth="1"/>
    <col min="10311" max="10313" width="0.88671875" style="6"/>
    <col min="10314" max="10314" width="0.88671875" style="6" customWidth="1"/>
    <col min="10315" max="10326" width="0.88671875" style="6"/>
    <col min="10327" max="10328" width="0.88671875" style="6" customWidth="1"/>
    <col min="10329" max="10565" width="0.88671875" style="6"/>
    <col min="10566" max="10566" width="0.88671875" style="6" customWidth="1"/>
    <col min="10567" max="10569" width="0.88671875" style="6"/>
    <col min="10570" max="10570" width="0.88671875" style="6" customWidth="1"/>
    <col min="10571" max="10582" width="0.88671875" style="6"/>
    <col min="10583" max="10584" width="0.88671875" style="6" customWidth="1"/>
    <col min="10585" max="10821" width="0.88671875" style="6"/>
    <col min="10822" max="10822" width="0.88671875" style="6" customWidth="1"/>
    <col min="10823" max="10825" width="0.88671875" style="6"/>
    <col min="10826" max="10826" width="0.88671875" style="6" customWidth="1"/>
    <col min="10827" max="10838" width="0.88671875" style="6"/>
    <col min="10839" max="10840" width="0.88671875" style="6" customWidth="1"/>
    <col min="10841" max="11077" width="0.88671875" style="6"/>
    <col min="11078" max="11078" width="0.88671875" style="6" customWidth="1"/>
    <col min="11079" max="11081" width="0.88671875" style="6"/>
    <col min="11082" max="11082" width="0.88671875" style="6" customWidth="1"/>
    <col min="11083" max="11094" width="0.88671875" style="6"/>
    <col min="11095" max="11096" width="0.88671875" style="6" customWidth="1"/>
    <col min="11097" max="11333" width="0.88671875" style="6"/>
    <col min="11334" max="11334" width="0.88671875" style="6" customWidth="1"/>
    <col min="11335" max="11337" width="0.88671875" style="6"/>
    <col min="11338" max="11338" width="0.88671875" style="6" customWidth="1"/>
    <col min="11339" max="11350" width="0.88671875" style="6"/>
    <col min="11351" max="11352" width="0.88671875" style="6" customWidth="1"/>
    <col min="11353" max="11589" width="0.88671875" style="6"/>
    <col min="11590" max="11590" width="0.88671875" style="6" customWidth="1"/>
    <col min="11591" max="11593" width="0.88671875" style="6"/>
    <col min="11594" max="11594" width="0.88671875" style="6" customWidth="1"/>
    <col min="11595" max="11606" width="0.88671875" style="6"/>
    <col min="11607" max="11608" width="0.88671875" style="6" customWidth="1"/>
    <col min="11609" max="11845" width="0.88671875" style="6"/>
    <col min="11846" max="11846" width="0.88671875" style="6" customWidth="1"/>
    <col min="11847" max="11849" width="0.88671875" style="6"/>
    <col min="11850" max="11850" width="0.88671875" style="6" customWidth="1"/>
    <col min="11851" max="11862" width="0.88671875" style="6"/>
    <col min="11863" max="11864" width="0.88671875" style="6" customWidth="1"/>
    <col min="11865" max="12101" width="0.88671875" style="6"/>
    <col min="12102" max="12102" width="0.88671875" style="6" customWidth="1"/>
    <col min="12103" max="12105" width="0.88671875" style="6"/>
    <col min="12106" max="12106" width="0.88671875" style="6" customWidth="1"/>
    <col min="12107" max="12118" width="0.88671875" style="6"/>
    <col min="12119" max="12120" width="0.88671875" style="6" customWidth="1"/>
    <col min="12121" max="12357" width="0.88671875" style="6"/>
    <col min="12358" max="12358" width="0.88671875" style="6" customWidth="1"/>
    <col min="12359" max="12361" width="0.88671875" style="6"/>
    <col min="12362" max="12362" width="0.88671875" style="6" customWidth="1"/>
    <col min="12363" max="12374" width="0.88671875" style="6"/>
    <col min="12375" max="12376" width="0.88671875" style="6" customWidth="1"/>
    <col min="12377" max="12613" width="0.88671875" style="6"/>
    <col min="12614" max="12614" width="0.88671875" style="6" customWidth="1"/>
    <col min="12615" max="12617" width="0.88671875" style="6"/>
    <col min="12618" max="12618" width="0.88671875" style="6" customWidth="1"/>
    <col min="12619" max="12630" width="0.88671875" style="6"/>
    <col min="12631" max="12632" width="0.88671875" style="6" customWidth="1"/>
    <col min="12633" max="12869" width="0.88671875" style="6"/>
    <col min="12870" max="12870" width="0.88671875" style="6" customWidth="1"/>
    <col min="12871" max="12873" width="0.88671875" style="6"/>
    <col min="12874" max="12874" width="0.88671875" style="6" customWidth="1"/>
    <col min="12875" max="12886" width="0.88671875" style="6"/>
    <col min="12887" max="12888" width="0.88671875" style="6" customWidth="1"/>
    <col min="12889" max="13125" width="0.88671875" style="6"/>
    <col min="13126" max="13126" width="0.88671875" style="6" customWidth="1"/>
    <col min="13127" max="13129" width="0.88671875" style="6"/>
    <col min="13130" max="13130" width="0.88671875" style="6" customWidth="1"/>
    <col min="13131" max="13142" width="0.88671875" style="6"/>
    <col min="13143" max="13144" width="0.88671875" style="6" customWidth="1"/>
    <col min="13145" max="13381" width="0.88671875" style="6"/>
    <col min="13382" max="13382" width="0.88671875" style="6" customWidth="1"/>
    <col min="13383" max="13385" width="0.88671875" style="6"/>
    <col min="13386" max="13386" width="0.88671875" style="6" customWidth="1"/>
    <col min="13387" max="13398" width="0.88671875" style="6"/>
    <col min="13399" max="13400" width="0.88671875" style="6" customWidth="1"/>
    <col min="13401" max="13637" width="0.88671875" style="6"/>
    <col min="13638" max="13638" width="0.88671875" style="6" customWidth="1"/>
    <col min="13639" max="13641" width="0.88671875" style="6"/>
    <col min="13642" max="13642" width="0.88671875" style="6" customWidth="1"/>
    <col min="13643" max="13654" width="0.88671875" style="6"/>
    <col min="13655" max="13656" width="0.88671875" style="6" customWidth="1"/>
    <col min="13657" max="13893" width="0.88671875" style="6"/>
    <col min="13894" max="13894" width="0.88671875" style="6" customWidth="1"/>
    <col min="13895" max="13897" width="0.88671875" style="6"/>
    <col min="13898" max="13898" width="0.88671875" style="6" customWidth="1"/>
    <col min="13899" max="13910" width="0.88671875" style="6"/>
    <col min="13911" max="13912" width="0.88671875" style="6" customWidth="1"/>
    <col min="13913" max="14149" width="0.88671875" style="6"/>
    <col min="14150" max="14150" width="0.88671875" style="6" customWidth="1"/>
    <col min="14151" max="14153" width="0.88671875" style="6"/>
    <col min="14154" max="14154" width="0.88671875" style="6" customWidth="1"/>
    <col min="14155" max="14166" width="0.88671875" style="6"/>
    <col min="14167" max="14168" width="0.88671875" style="6" customWidth="1"/>
    <col min="14169" max="14405" width="0.88671875" style="6"/>
    <col min="14406" max="14406" width="0.88671875" style="6" customWidth="1"/>
    <col min="14407" max="14409" width="0.88671875" style="6"/>
    <col min="14410" max="14410" width="0.88671875" style="6" customWidth="1"/>
    <col min="14411" max="14422" width="0.88671875" style="6"/>
    <col min="14423" max="14424" width="0.88671875" style="6" customWidth="1"/>
    <col min="14425" max="14661" width="0.88671875" style="6"/>
    <col min="14662" max="14662" width="0.88671875" style="6" customWidth="1"/>
    <col min="14663" max="14665" width="0.88671875" style="6"/>
    <col min="14666" max="14666" width="0.88671875" style="6" customWidth="1"/>
    <col min="14667" max="14678" width="0.88671875" style="6"/>
    <col min="14679" max="14680" width="0.88671875" style="6" customWidth="1"/>
    <col min="14681" max="14917" width="0.88671875" style="6"/>
    <col min="14918" max="14918" width="0.88671875" style="6" customWidth="1"/>
    <col min="14919" max="14921" width="0.88671875" style="6"/>
    <col min="14922" max="14922" width="0.88671875" style="6" customWidth="1"/>
    <col min="14923" max="14934" width="0.88671875" style="6"/>
    <col min="14935" max="14936" width="0.88671875" style="6" customWidth="1"/>
    <col min="14937" max="15173" width="0.88671875" style="6"/>
    <col min="15174" max="15174" width="0.88671875" style="6" customWidth="1"/>
    <col min="15175" max="15177" width="0.88671875" style="6"/>
    <col min="15178" max="15178" width="0.88671875" style="6" customWidth="1"/>
    <col min="15179" max="15190" width="0.88671875" style="6"/>
    <col min="15191" max="15192" width="0.88671875" style="6" customWidth="1"/>
    <col min="15193" max="15429" width="0.88671875" style="6"/>
    <col min="15430" max="15430" width="0.88671875" style="6" customWidth="1"/>
    <col min="15431" max="15433" width="0.88671875" style="6"/>
    <col min="15434" max="15434" width="0.88671875" style="6" customWidth="1"/>
    <col min="15435" max="15446" width="0.88671875" style="6"/>
    <col min="15447" max="15448" width="0.88671875" style="6" customWidth="1"/>
    <col min="15449" max="15685" width="0.88671875" style="6"/>
    <col min="15686" max="15686" width="0.88671875" style="6" customWidth="1"/>
    <col min="15687" max="15689" width="0.88671875" style="6"/>
    <col min="15690" max="15690" width="0.88671875" style="6" customWidth="1"/>
    <col min="15691" max="15702" width="0.88671875" style="6"/>
    <col min="15703" max="15704" width="0.88671875" style="6" customWidth="1"/>
    <col min="15705" max="15941" width="0.88671875" style="6"/>
    <col min="15942" max="15942" width="0.88671875" style="6" customWidth="1"/>
    <col min="15943" max="15945" width="0.88671875" style="6"/>
    <col min="15946" max="15946" width="0.88671875" style="6" customWidth="1"/>
    <col min="15947" max="15958" width="0.88671875" style="6"/>
    <col min="15959" max="15960" width="0.88671875" style="6" customWidth="1"/>
    <col min="15961" max="16197" width="0.88671875" style="6"/>
    <col min="16198" max="16198" width="0.88671875" style="6" customWidth="1"/>
    <col min="16199" max="16201" width="0.88671875" style="6"/>
    <col min="16202" max="16202" width="0.88671875" style="6" customWidth="1"/>
    <col min="16203" max="16214" width="0.88671875" style="6"/>
    <col min="16215" max="16216" width="0.88671875" style="6" customWidth="1"/>
    <col min="16217" max="16384" width="0.88671875" style="6"/>
  </cols>
  <sheetData>
    <row r="1" spans="1:105" s="5" customFormat="1" ht="13.2">
      <c r="BQ1" s="5" t="s">
        <v>4</v>
      </c>
    </row>
    <row r="2" spans="1:105" s="5" customFormat="1" ht="39.75" customHeight="1">
      <c r="BQ2" s="163" t="s">
        <v>5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</row>
    <row r="3" spans="1:105" ht="3" customHeight="1"/>
    <row r="4" spans="1:105" s="7" customFormat="1" ht="24" customHeight="1">
      <c r="BQ4" s="164" t="s">
        <v>6</v>
      </c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</row>
    <row r="7" spans="1:105" s="8" customFormat="1" ht="16.8">
      <c r="A7" s="165" t="s">
        <v>7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</row>
    <row r="8" spans="1:105" s="8" customFormat="1" ht="6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</row>
    <row r="9" spans="1:105" s="8" customFormat="1" ht="48" customHeight="1">
      <c r="A9" s="166" t="s">
        <v>8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</row>
    <row r="11" spans="1:105" s="5" customFormat="1" ht="93" customHeight="1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7"/>
      <c r="BG11" s="167"/>
      <c r="BH11" s="167"/>
      <c r="BI11" s="168"/>
      <c r="BJ11" s="169" t="s">
        <v>9</v>
      </c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1"/>
      <c r="CF11" s="169" t="s">
        <v>10</v>
      </c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</row>
    <row r="12" spans="1:105" s="5" customFormat="1" ht="27" customHeight="1">
      <c r="A12" s="172" t="s">
        <v>11</v>
      </c>
      <c r="B12" s="172"/>
      <c r="C12" s="172"/>
      <c r="D12" s="172"/>
      <c r="E12" s="172"/>
      <c r="F12" s="173" t="s">
        <v>12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4" t="s">
        <v>34</v>
      </c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6"/>
      <c r="CF12" s="175" t="s">
        <v>34</v>
      </c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</row>
    <row r="13" spans="1:105" s="5" customFormat="1" ht="40.5" customHeight="1">
      <c r="A13" s="172" t="s">
        <v>13</v>
      </c>
      <c r="B13" s="172"/>
      <c r="C13" s="172"/>
      <c r="D13" s="172"/>
      <c r="E13" s="172"/>
      <c r="F13" s="173" t="s">
        <v>14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7">
        <v>35866.050000000003</v>
      </c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8"/>
      <c r="BV13" s="178"/>
      <c r="BW13" s="178"/>
      <c r="BX13" s="178"/>
      <c r="BY13" s="178"/>
      <c r="BZ13" s="178"/>
      <c r="CA13" s="178"/>
      <c r="CB13" s="178"/>
      <c r="CC13" s="178"/>
      <c r="CD13" s="178"/>
      <c r="CE13" s="179"/>
      <c r="CF13" s="178">
        <v>1833.1</v>
      </c>
      <c r="CG13" s="178"/>
      <c r="CH13" s="178"/>
      <c r="CI13" s="178"/>
      <c r="CJ13" s="178"/>
      <c r="CK13" s="178"/>
      <c r="CL13" s="178"/>
      <c r="CM13" s="178"/>
      <c r="CN13" s="178"/>
      <c r="CO13" s="178"/>
      <c r="CP13" s="178"/>
      <c r="CQ13" s="178"/>
      <c r="CR13" s="178"/>
      <c r="CS13" s="178"/>
      <c r="CT13" s="178"/>
      <c r="CU13" s="178"/>
      <c r="CV13" s="178"/>
      <c r="CW13" s="178"/>
      <c r="CX13" s="178"/>
      <c r="CY13" s="178"/>
      <c r="CZ13" s="178"/>
      <c r="DA13" s="178"/>
    </row>
    <row r="14" spans="1:105" s="5" customFormat="1" ht="27" customHeight="1">
      <c r="A14" s="172" t="s">
        <v>15</v>
      </c>
      <c r="B14" s="172"/>
      <c r="C14" s="172"/>
      <c r="D14" s="172"/>
      <c r="E14" s="172"/>
      <c r="F14" s="173" t="s">
        <v>16</v>
      </c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4" t="s">
        <v>34</v>
      </c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6"/>
      <c r="CF14" s="175" t="s">
        <v>34</v>
      </c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</row>
  </sheetData>
  <mergeCells count="19">
    <mergeCell ref="A14:E14"/>
    <mergeCell ref="F14:BI14"/>
    <mergeCell ref="BJ14:CE14"/>
    <mergeCell ref="CF14:DA14"/>
    <mergeCell ref="A12:E12"/>
    <mergeCell ref="F12:BI12"/>
    <mergeCell ref="BJ12:CE12"/>
    <mergeCell ref="CF12:DA12"/>
    <mergeCell ref="A13:E13"/>
    <mergeCell ref="F13:BI13"/>
    <mergeCell ref="BJ13:CE13"/>
    <mergeCell ref="CF13:DA13"/>
    <mergeCell ref="BQ2:DA2"/>
    <mergeCell ref="BQ4:DA4"/>
    <mergeCell ref="A7:DA7"/>
    <mergeCell ref="A9:DA9"/>
    <mergeCell ref="A11:BI11"/>
    <mergeCell ref="BJ11:CE11"/>
    <mergeCell ref="CF11:DA11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9"/>
  <sheetViews>
    <sheetView view="pageBreakPreview" topLeftCell="A7" zoomScaleNormal="100" zoomScaleSheetLayoutView="100" workbookViewId="0">
      <selection activeCell="AN19" sqref="AN19:BI19"/>
    </sheetView>
  </sheetViews>
  <sheetFormatPr defaultColWidth="0.88671875" defaultRowHeight="15.6"/>
  <cols>
    <col min="1" max="69" width="0.88671875" style="6"/>
    <col min="70" max="70" width="0.88671875" style="6" customWidth="1"/>
    <col min="71" max="73" width="0.88671875" style="6"/>
    <col min="74" max="74" width="0.88671875" style="6" customWidth="1"/>
    <col min="75" max="86" width="0.88671875" style="6"/>
    <col min="87" max="88" width="0.88671875" style="6" customWidth="1"/>
    <col min="89" max="119" width="0.88671875" style="6"/>
    <col min="120" max="120" width="11.6640625" style="6" bestFit="1" customWidth="1"/>
    <col min="121" max="121" width="18.88671875" style="6" bestFit="1" customWidth="1"/>
    <col min="122" max="123" width="0.88671875" style="6"/>
    <col min="124" max="124" width="24.33203125" style="6" customWidth="1"/>
    <col min="125" max="130" width="0.88671875" style="6"/>
    <col min="131" max="131" width="10" style="6" bestFit="1" customWidth="1"/>
    <col min="132" max="325" width="0.88671875" style="6"/>
    <col min="326" max="326" width="0.88671875" style="6" customWidth="1"/>
    <col min="327" max="329" width="0.88671875" style="6"/>
    <col min="330" max="330" width="0.88671875" style="6" customWidth="1"/>
    <col min="331" max="342" width="0.88671875" style="6"/>
    <col min="343" max="344" width="0.88671875" style="6" customWidth="1"/>
    <col min="345" max="375" width="0.88671875" style="6"/>
    <col min="376" max="376" width="11.6640625" style="6" bestFit="1" customWidth="1"/>
    <col min="377" max="377" width="18.88671875" style="6" bestFit="1" customWidth="1"/>
    <col min="378" max="379" width="0.88671875" style="6"/>
    <col min="380" max="380" width="24.33203125" style="6" customWidth="1"/>
    <col min="381" max="386" width="0.88671875" style="6"/>
    <col min="387" max="387" width="10" style="6" bestFit="1" customWidth="1"/>
    <col min="388" max="581" width="0.88671875" style="6"/>
    <col min="582" max="582" width="0.88671875" style="6" customWidth="1"/>
    <col min="583" max="585" width="0.88671875" style="6"/>
    <col min="586" max="586" width="0.88671875" style="6" customWidth="1"/>
    <col min="587" max="598" width="0.88671875" style="6"/>
    <col min="599" max="600" width="0.88671875" style="6" customWidth="1"/>
    <col min="601" max="631" width="0.88671875" style="6"/>
    <col min="632" max="632" width="11.6640625" style="6" bestFit="1" customWidth="1"/>
    <col min="633" max="633" width="18.88671875" style="6" bestFit="1" customWidth="1"/>
    <col min="634" max="635" width="0.88671875" style="6"/>
    <col min="636" max="636" width="24.33203125" style="6" customWidth="1"/>
    <col min="637" max="642" width="0.88671875" style="6"/>
    <col min="643" max="643" width="10" style="6" bestFit="1" customWidth="1"/>
    <col min="644" max="837" width="0.88671875" style="6"/>
    <col min="838" max="838" width="0.88671875" style="6" customWidth="1"/>
    <col min="839" max="841" width="0.88671875" style="6"/>
    <col min="842" max="842" width="0.88671875" style="6" customWidth="1"/>
    <col min="843" max="854" width="0.88671875" style="6"/>
    <col min="855" max="856" width="0.88671875" style="6" customWidth="1"/>
    <col min="857" max="887" width="0.88671875" style="6"/>
    <col min="888" max="888" width="11.6640625" style="6" bestFit="1" customWidth="1"/>
    <col min="889" max="889" width="18.88671875" style="6" bestFit="1" customWidth="1"/>
    <col min="890" max="891" width="0.88671875" style="6"/>
    <col min="892" max="892" width="24.33203125" style="6" customWidth="1"/>
    <col min="893" max="898" width="0.88671875" style="6"/>
    <col min="899" max="899" width="10" style="6" bestFit="1" customWidth="1"/>
    <col min="900" max="1093" width="0.88671875" style="6"/>
    <col min="1094" max="1094" width="0.88671875" style="6" customWidth="1"/>
    <col min="1095" max="1097" width="0.88671875" style="6"/>
    <col min="1098" max="1098" width="0.88671875" style="6" customWidth="1"/>
    <col min="1099" max="1110" width="0.88671875" style="6"/>
    <col min="1111" max="1112" width="0.88671875" style="6" customWidth="1"/>
    <col min="1113" max="1143" width="0.88671875" style="6"/>
    <col min="1144" max="1144" width="11.6640625" style="6" bestFit="1" customWidth="1"/>
    <col min="1145" max="1145" width="18.88671875" style="6" bestFit="1" customWidth="1"/>
    <col min="1146" max="1147" width="0.88671875" style="6"/>
    <col min="1148" max="1148" width="24.33203125" style="6" customWidth="1"/>
    <col min="1149" max="1154" width="0.88671875" style="6"/>
    <col min="1155" max="1155" width="10" style="6" bestFit="1" customWidth="1"/>
    <col min="1156" max="1349" width="0.88671875" style="6"/>
    <col min="1350" max="1350" width="0.88671875" style="6" customWidth="1"/>
    <col min="1351" max="1353" width="0.88671875" style="6"/>
    <col min="1354" max="1354" width="0.88671875" style="6" customWidth="1"/>
    <col min="1355" max="1366" width="0.88671875" style="6"/>
    <col min="1367" max="1368" width="0.88671875" style="6" customWidth="1"/>
    <col min="1369" max="1399" width="0.88671875" style="6"/>
    <col min="1400" max="1400" width="11.6640625" style="6" bestFit="1" customWidth="1"/>
    <col min="1401" max="1401" width="18.88671875" style="6" bestFit="1" customWidth="1"/>
    <col min="1402" max="1403" width="0.88671875" style="6"/>
    <col min="1404" max="1404" width="24.33203125" style="6" customWidth="1"/>
    <col min="1405" max="1410" width="0.88671875" style="6"/>
    <col min="1411" max="1411" width="10" style="6" bestFit="1" customWidth="1"/>
    <col min="1412" max="1605" width="0.88671875" style="6"/>
    <col min="1606" max="1606" width="0.88671875" style="6" customWidth="1"/>
    <col min="1607" max="1609" width="0.88671875" style="6"/>
    <col min="1610" max="1610" width="0.88671875" style="6" customWidth="1"/>
    <col min="1611" max="1622" width="0.88671875" style="6"/>
    <col min="1623" max="1624" width="0.88671875" style="6" customWidth="1"/>
    <col min="1625" max="1655" width="0.88671875" style="6"/>
    <col min="1656" max="1656" width="11.6640625" style="6" bestFit="1" customWidth="1"/>
    <col min="1657" max="1657" width="18.88671875" style="6" bestFit="1" customWidth="1"/>
    <col min="1658" max="1659" width="0.88671875" style="6"/>
    <col min="1660" max="1660" width="24.33203125" style="6" customWidth="1"/>
    <col min="1661" max="1666" width="0.88671875" style="6"/>
    <col min="1667" max="1667" width="10" style="6" bestFit="1" customWidth="1"/>
    <col min="1668" max="1861" width="0.88671875" style="6"/>
    <col min="1862" max="1862" width="0.88671875" style="6" customWidth="1"/>
    <col min="1863" max="1865" width="0.88671875" style="6"/>
    <col min="1866" max="1866" width="0.88671875" style="6" customWidth="1"/>
    <col min="1867" max="1878" width="0.88671875" style="6"/>
    <col min="1879" max="1880" width="0.88671875" style="6" customWidth="1"/>
    <col min="1881" max="1911" width="0.88671875" style="6"/>
    <col min="1912" max="1912" width="11.6640625" style="6" bestFit="1" customWidth="1"/>
    <col min="1913" max="1913" width="18.88671875" style="6" bestFit="1" customWidth="1"/>
    <col min="1914" max="1915" width="0.88671875" style="6"/>
    <col min="1916" max="1916" width="24.33203125" style="6" customWidth="1"/>
    <col min="1917" max="1922" width="0.88671875" style="6"/>
    <col min="1923" max="1923" width="10" style="6" bestFit="1" customWidth="1"/>
    <col min="1924" max="2117" width="0.88671875" style="6"/>
    <col min="2118" max="2118" width="0.88671875" style="6" customWidth="1"/>
    <col min="2119" max="2121" width="0.88671875" style="6"/>
    <col min="2122" max="2122" width="0.88671875" style="6" customWidth="1"/>
    <col min="2123" max="2134" width="0.88671875" style="6"/>
    <col min="2135" max="2136" width="0.88671875" style="6" customWidth="1"/>
    <col min="2137" max="2167" width="0.88671875" style="6"/>
    <col min="2168" max="2168" width="11.6640625" style="6" bestFit="1" customWidth="1"/>
    <col min="2169" max="2169" width="18.88671875" style="6" bestFit="1" customWidth="1"/>
    <col min="2170" max="2171" width="0.88671875" style="6"/>
    <col min="2172" max="2172" width="24.33203125" style="6" customWidth="1"/>
    <col min="2173" max="2178" width="0.88671875" style="6"/>
    <col min="2179" max="2179" width="10" style="6" bestFit="1" customWidth="1"/>
    <col min="2180" max="2373" width="0.88671875" style="6"/>
    <col min="2374" max="2374" width="0.88671875" style="6" customWidth="1"/>
    <col min="2375" max="2377" width="0.88671875" style="6"/>
    <col min="2378" max="2378" width="0.88671875" style="6" customWidth="1"/>
    <col min="2379" max="2390" width="0.88671875" style="6"/>
    <col min="2391" max="2392" width="0.88671875" style="6" customWidth="1"/>
    <col min="2393" max="2423" width="0.88671875" style="6"/>
    <col min="2424" max="2424" width="11.6640625" style="6" bestFit="1" customWidth="1"/>
    <col min="2425" max="2425" width="18.88671875" style="6" bestFit="1" customWidth="1"/>
    <col min="2426" max="2427" width="0.88671875" style="6"/>
    <col min="2428" max="2428" width="24.33203125" style="6" customWidth="1"/>
    <col min="2429" max="2434" width="0.88671875" style="6"/>
    <col min="2435" max="2435" width="10" style="6" bestFit="1" customWidth="1"/>
    <col min="2436" max="2629" width="0.88671875" style="6"/>
    <col min="2630" max="2630" width="0.88671875" style="6" customWidth="1"/>
    <col min="2631" max="2633" width="0.88671875" style="6"/>
    <col min="2634" max="2634" width="0.88671875" style="6" customWidth="1"/>
    <col min="2635" max="2646" width="0.88671875" style="6"/>
    <col min="2647" max="2648" width="0.88671875" style="6" customWidth="1"/>
    <col min="2649" max="2679" width="0.88671875" style="6"/>
    <col min="2680" max="2680" width="11.6640625" style="6" bestFit="1" customWidth="1"/>
    <col min="2681" max="2681" width="18.88671875" style="6" bestFit="1" customWidth="1"/>
    <col min="2682" max="2683" width="0.88671875" style="6"/>
    <col min="2684" max="2684" width="24.33203125" style="6" customWidth="1"/>
    <col min="2685" max="2690" width="0.88671875" style="6"/>
    <col min="2691" max="2691" width="10" style="6" bestFit="1" customWidth="1"/>
    <col min="2692" max="2885" width="0.88671875" style="6"/>
    <col min="2886" max="2886" width="0.88671875" style="6" customWidth="1"/>
    <col min="2887" max="2889" width="0.88671875" style="6"/>
    <col min="2890" max="2890" width="0.88671875" style="6" customWidth="1"/>
    <col min="2891" max="2902" width="0.88671875" style="6"/>
    <col min="2903" max="2904" width="0.88671875" style="6" customWidth="1"/>
    <col min="2905" max="2935" width="0.88671875" style="6"/>
    <col min="2936" max="2936" width="11.6640625" style="6" bestFit="1" customWidth="1"/>
    <col min="2937" max="2937" width="18.88671875" style="6" bestFit="1" customWidth="1"/>
    <col min="2938" max="2939" width="0.88671875" style="6"/>
    <col min="2940" max="2940" width="24.33203125" style="6" customWidth="1"/>
    <col min="2941" max="2946" width="0.88671875" style="6"/>
    <col min="2947" max="2947" width="10" style="6" bestFit="1" customWidth="1"/>
    <col min="2948" max="3141" width="0.88671875" style="6"/>
    <col min="3142" max="3142" width="0.88671875" style="6" customWidth="1"/>
    <col min="3143" max="3145" width="0.88671875" style="6"/>
    <col min="3146" max="3146" width="0.88671875" style="6" customWidth="1"/>
    <col min="3147" max="3158" width="0.88671875" style="6"/>
    <col min="3159" max="3160" width="0.88671875" style="6" customWidth="1"/>
    <col min="3161" max="3191" width="0.88671875" style="6"/>
    <col min="3192" max="3192" width="11.6640625" style="6" bestFit="1" customWidth="1"/>
    <col min="3193" max="3193" width="18.88671875" style="6" bestFit="1" customWidth="1"/>
    <col min="3194" max="3195" width="0.88671875" style="6"/>
    <col min="3196" max="3196" width="24.33203125" style="6" customWidth="1"/>
    <col min="3197" max="3202" width="0.88671875" style="6"/>
    <col min="3203" max="3203" width="10" style="6" bestFit="1" customWidth="1"/>
    <col min="3204" max="3397" width="0.88671875" style="6"/>
    <col min="3398" max="3398" width="0.88671875" style="6" customWidth="1"/>
    <col min="3399" max="3401" width="0.88671875" style="6"/>
    <col min="3402" max="3402" width="0.88671875" style="6" customWidth="1"/>
    <col min="3403" max="3414" width="0.88671875" style="6"/>
    <col min="3415" max="3416" width="0.88671875" style="6" customWidth="1"/>
    <col min="3417" max="3447" width="0.88671875" style="6"/>
    <col min="3448" max="3448" width="11.6640625" style="6" bestFit="1" customWidth="1"/>
    <col min="3449" max="3449" width="18.88671875" style="6" bestFit="1" customWidth="1"/>
    <col min="3450" max="3451" width="0.88671875" style="6"/>
    <col min="3452" max="3452" width="24.33203125" style="6" customWidth="1"/>
    <col min="3453" max="3458" width="0.88671875" style="6"/>
    <col min="3459" max="3459" width="10" style="6" bestFit="1" customWidth="1"/>
    <col min="3460" max="3653" width="0.88671875" style="6"/>
    <col min="3654" max="3654" width="0.88671875" style="6" customWidth="1"/>
    <col min="3655" max="3657" width="0.88671875" style="6"/>
    <col min="3658" max="3658" width="0.88671875" style="6" customWidth="1"/>
    <col min="3659" max="3670" width="0.88671875" style="6"/>
    <col min="3671" max="3672" width="0.88671875" style="6" customWidth="1"/>
    <col min="3673" max="3703" width="0.88671875" style="6"/>
    <col min="3704" max="3704" width="11.6640625" style="6" bestFit="1" customWidth="1"/>
    <col min="3705" max="3705" width="18.88671875" style="6" bestFit="1" customWidth="1"/>
    <col min="3706" max="3707" width="0.88671875" style="6"/>
    <col min="3708" max="3708" width="24.33203125" style="6" customWidth="1"/>
    <col min="3709" max="3714" width="0.88671875" style="6"/>
    <col min="3715" max="3715" width="10" style="6" bestFit="1" customWidth="1"/>
    <col min="3716" max="3909" width="0.88671875" style="6"/>
    <col min="3910" max="3910" width="0.88671875" style="6" customWidth="1"/>
    <col min="3911" max="3913" width="0.88671875" style="6"/>
    <col min="3914" max="3914" width="0.88671875" style="6" customWidth="1"/>
    <col min="3915" max="3926" width="0.88671875" style="6"/>
    <col min="3927" max="3928" width="0.88671875" style="6" customWidth="1"/>
    <col min="3929" max="3959" width="0.88671875" style="6"/>
    <col min="3960" max="3960" width="11.6640625" style="6" bestFit="1" customWidth="1"/>
    <col min="3961" max="3961" width="18.88671875" style="6" bestFit="1" customWidth="1"/>
    <col min="3962" max="3963" width="0.88671875" style="6"/>
    <col min="3964" max="3964" width="24.33203125" style="6" customWidth="1"/>
    <col min="3965" max="3970" width="0.88671875" style="6"/>
    <col min="3971" max="3971" width="10" style="6" bestFit="1" customWidth="1"/>
    <col min="3972" max="4165" width="0.88671875" style="6"/>
    <col min="4166" max="4166" width="0.88671875" style="6" customWidth="1"/>
    <col min="4167" max="4169" width="0.88671875" style="6"/>
    <col min="4170" max="4170" width="0.88671875" style="6" customWidth="1"/>
    <col min="4171" max="4182" width="0.88671875" style="6"/>
    <col min="4183" max="4184" width="0.88671875" style="6" customWidth="1"/>
    <col min="4185" max="4215" width="0.88671875" style="6"/>
    <col min="4216" max="4216" width="11.6640625" style="6" bestFit="1" customWidth="1"/>
    <col min="4217" max="4217" width="18.88671875" style="6" bestFit="1" customWidth="1"/>
    <col min="4218" max="4219" width="0.88671875" style="6"/>
    <col min="4220" max="4220" width="24.33203125" style="6" customWidth="1"/>
    <col min="4221" max="4226" width="0.88671875" style="6"/>
    <col min="4227" max="4227" width="10" style="6" bestFit="1" customWidth="1"/>
    <col min="4228" max="4421" width="0.88671875" style="6"/>
    <col min="4422" max="4422" width="0.88671875" style="6" customWidth="1"/>
    <col min="4423" max="4425" width="0.88671875" style="6"/>
    <col min="4426" max="4426" width="0.88671875" style="6" customWidth="1"/>
    <col min="4427" max="4438" width="0.88671875" style="6"/>
    <col min="4439" max="4440" width="0.88671875" style="6" customWidth="1"/>
    <col min="4441" max="4471" width="0.88671875" style="6"/>
    <col min="4472" max="4472" width="11.6640625" style="6" bestFit="1" customWidth="1"/>
    <col min="4473" max="4473" width="18.88671875" style="6" bestFit="1" customWidth="1"/>
    <col min="4474" max="4475" width="0.88671875" style="6"/>
    <col min="4476" max="4476" width="24.33203125" style="6" customWidth="1"/>
    <col min="4477" max="4482" width="0.88671875" style="6"/>
    <col min="4483" max="4483" width="10" style="6" bestFit="1" customWidth="1"/>
    <col min="4484" max="4677" width="0.88671875" style="6"/>
    <col min="4678" max="4678" width="0.88671875" style="6" customWidth="1"/>
    <col min="4679" max="4681" width="0.88671875" style="6"/>
    <col min="4682" max="4682" width="0.88671875" style="6" customWidth="1"/>
    <col min="4683" max="4694" width="0.88671875" style="6"/>
    <col min="4695" max="4696" width="0.88671875" style="6" customWidth="1"/>
    <col min="4697" max="4727" width="0.88671875" style="6"/>
    <col min="4728" max="4728" width="11.6640625" style="6" bestFit="1" customWidth="1"/>
    <col min="4729" max="4729" width="18.88671875" style="6" bestFit="1" customWidth="1"/>
    <col min="4730" max="4731" width="0.88671875" style="6"/>
    <col min="4732" max="4732" width="24.33203125" style="6" customWidth="1"/>
    <col min="4733" max="4738" width="0.88671875" style="6"/>
    <col min="4739" max="4739" width="10" style="6" bestFit="1" customWidth="1"/>
    <col min="4740" max="4933" width="0.88671875" style="6"/>
    <col min="4934" max="4934" width="0.88671875" style="6" customWidth="1"/>
    <col min="4935" max="4937" width="0.88671875" style="6"/>
    <col min="4938" max="4938" width="0.88671875" style="6" customWidth="1"/>
    <col min="4939" max="4950" width="0.88671875" style="6"/>
    <col min="4951" max="4952" width="0.88671875" style="6" customWidth="1"/>
    <col min="4953" max="4983" width="0.88671875" style="6"/>
    <col min="4984" max="4984" width="11.6640625" style="6" bestFit="1" customWidth="1"/>
    <col min="4985" max="4985" width="18.88671875" style="6" bestFit="1" customWidth="1"/>
    <col min="4986" max="4987" width="0.88671875" style="6"/>
    <col min="4988" max="4988" width="24.33203125" style="6" customWidth="1"/>
    <col min="4989" max="4994" width="0.88671875" style="6"/>
    <col min="4995" max="4995" width="10" style="6" bestFit="1" customWidth="1"/>
    <col min="4996" max="5189" width="0.88671875" style="6"/>
    <col min="5190" max="5190" width="0.88671875" style="6" customWidth="1"/>
    <col min="5191" max="5193" width="0.88671875" style="6"/>
    <col min="5194" max="5194" width="0.88671875" style="6" customWidth="1"/>
    <col min="5195" max="5206" width="0.88671875" style="6"/>
    <col min="5207" max="5208" width="0.88671875" style="6" customWidth="1"/>
    <col min="5209" max="5239" width="0.88671875" style="6"/>
    <col min="5240" max="5240" width="11.6640625" style="6" bestFit="1" customWidth="1"/>
    <col min="5241" max="5241" width="18.88671875" style="6" bestFit="1" customWidth="1"/>
    <col min="5242" max="5243" width="0.88671875" style="6"/>
    <col min="5244" max="5244" width="24.33203125" style="6" customWidth="1"/>
    <col min="5245" max="5250" width="0.88671875" style="6"/>
    <col min="5251" max="5251" width="10" style="6" bestFit="1" customWidth="1"/>
    <col min="5252" max="5445" width="0.88671875" style="6"/>
    <col min="5446" max="5446" width="0.88671875" style="6" customWidth="1"/>
    <col min="5447" max="5449" width="0.88671875" style="6"/>
    <col min="5450" max="5450" width="0.88671875" style="6" customWidth="1"/>
    <col min="5451" max="5462" width="0.88671875" style="6"/>
    <col min="5463" max="5464" width="0.88671875" style="6" customWidth="1"/>
    <col min="5465" max="5495" width="0.88671875" style="6"/>
    <col min="5496" max="5496" width="11.6640625" style="6" bestFit="1" customWidth="1"/>
    <col min="5497" max="5497" width="18.88671875" style="6" bestFit="1" customWidth="1"/>
    <col min="5498" max="5499" width="0.88671875" style="6"/>
    <col min="5500" max="5500" width="24.33203125" style="6" customWidth="1"/>
    <col min="5501" max="5506" width="0.88671875" style="6"/>
    <col min="5507" max="5507" width="10" style="6" bestFit="1" customWidth="1"/>
    <col min="5508" max="5701" width="0.88671875" style="6"/>
    <col min="5702" max="5702" width="0.88671875" style="6" customWidth="1"/>
    <col min="5703" max="5705" width="0.88671875" style="6"/>
    <col min="5706" max="5706" width="0.88671875" style="6" customWidth="1"/>
    <col min="5707" max="5718" width="0.88671875" style="6"/>
    <col min="5719" max="5720" width="0.88671875" style="6" customWidth="1"/>
    <col min="5721" max="5751" width="0.88671875" style="6"/>
    <col min="5752" max="5752" width="11.6640625" style="6" bestFit="1" customWidth="1"/>
    <col min="5753" max="5753" width="18.88671875" style="6" bestFit="1" customWidth="1"/>
    <col min="5754" max="5755" width="0.88671875" style="6"/>
    <col min="5756" max="5756" width="24.33203125" style="6" customWidth="1"/>
    <col min="5757" max="5762" width="0.88671875" style="6"/>
    <col min="5763" max="5763" width="10" style="6" bestFit="1" customWidth="1"/>
    <col min="5764" max="5957" width="0.88671875" style="6"/>
    <col min="5958" max="5958" width="0.88671875" style="6" customWidth="1"/>
    <col min="5959" max="5961" width="0.88671875" style="6"/>
    <col min="5962" max="5962" width="0.88671875" style="6" customWidth="1"/>
    <col min="5963" max="5974" width="0.88671875" style="6"/>
    <col min="5975" max="5976" width="0.88671875" style="6" customWidth="1"/>
    <col min="5977" max="6007" width="0.88671875" style="6"/>
    <col min="6008" max="6008" width="11.6640625" style="6" bestFit="1" customWidth="1"/>
    <col min="6009" max="6009" width="18.88671875" style="6" bestFit="1" customWidth="1"/>
    <col min="6010" max="6011" width="0.88671875" style="6"/>
    <col min="6012" max="6012" width="24.33203125" style="6" customWidth="1"/>
    <col min="6013" max="6018" width="0.88671875" style="6"/>
    <col min="6019" max="6019" width="10" style="6" bestFit="1" customWidth="1"/>
    <col min="6020" max="6213" width="0.88671875" style="6"/>
    <col min="6214" max="6214" width="0.88671875" style="6" customWidth="1"/>
    <col min="6215" max="6217" width="0.88671875" style="6"/>
    <col min="6218" max="6218" width="0.88671875" style="6" customWidth="1"/>
    <col min="6219" max="6230" width="0.88671875" style="6"/>
    <col min="6231" max="6232" width="0.88671875" style="6" customWidth="1"/>
    <col min="6233" max="6263" width="0.88671875" style="6"/>
    <col min="6264" max="6264" width="11.6640625" style="6" bestFit="1" customWidth="1"/>
    <col min="6265" max="6265" width="18.88671875" style="6" bestFit="1" customWidth="1"/>
    <col min="6266" max="6267" width="0.88671875" style="6"/>
    <col min="6268" max="6268" width="24.33203125" style="6" customWidth="1"/>
    <col min="6269" max="6274" width="0.88671875" style="6"/>
    <col min="6275" max="6275" width="10" style="6" bestFit="1" customWidth="1"/>
    <col min="6276" max="6469" width="0.88671875" style="6"/>
    <col min="6470" max="6470" width="0.88671875" style="6" customWidth="1"/>
    <col min="6471" max="6473" width="0.88671875" style="6"/>
    <col min="6474" max="6474" width="0.88671875" style="6" customWidth="1"/>
    <col min="6475" max="6486" width="0.88671875" style="6"/>
    <col min="6487" max="6488" width="0.88671875" style="6" customWidth="1"/>
    <col min="6489" max="6519" width="0.88671875" style="6"/>
    <col min="6520" max="6520" width="11.6640625" style="6" bestFit="1" customWidth="1"/>
    <col min="6521" max="6521" width="18.88671875" style="6" bestFit="1" customWidth="1"/>
    <col min="6522" max="6523" width="0.88671875" style="6"/>
    <col min="6524" max="6524" width="24.33203125" style="6" customWidth="1"/>
    <col min="6525" max="6530" width="0.88671875" style="6"/>
    <col min="6531" max="6531" width="10" style="6" bestFit="1" customWidth="1"/>
    <col min="6532" max="6725" width="0.88671875" style="6"/>
    <col min="6726" max="6726" width="0.88671875" style="6" customWidth="1"/>
    <col min="6727" max="6729" width="0.88671875" style="6"/>
    <col min="6730" max="6730" width="0.88671875" style="6" customWidth="1"/>
    <col min="6731" max="6742" width="0.88671875" style="6"/>
    <col min="6743" max="6744" width="0.88671875" style="6" customWidth="1"/>
    <col min="6745" max="6775" width="0.88671875" style="6"/>
    <col min="6776" max="6776" width="11.6640625" style="6" bestFit="1" customWidth="1"/>
    <col min="6777" max="6777" width="18.88671875" style="6" bestFit="1" customWidth="1"/>
    <col min="6778" max="6779" width="0.88671875" style="6"/>
    <col min="6780" max="6780" width="24.33203125" style="6" customWidth="1"/>
    <col min="6781" max="6786" width="0.88671875" style="6"/>
    <col min="6787" max="6787" width="10" style="6" bestFit="1" customWidth="1"/>
    <col min="6788" max="6981" width="0.88671875" style="6"/>
    <col min="6982" max="6982" width="0.88671875" style="6" customWidth="1"/>
    <col min="6983" max="6985" width="0.88671875" style="6"/>
    <col min="6986" max="6986" width="0.88671875" style="6" customWidth="1"/>
    <col min="6987" max="6998" width="0.88671875" style="6"/>
    <col min="6999" max="7000" width="0.88671875" style="6" customWidth="1"/>
    <col min="7001" max="7031" width="0.88671875" style="6"/>
    <col min="7032" max="7032" width="11.6640625" style="6" bestFit="1" customWidth="1"/>
    <col min="7033" max="7033" width="18.88671875" style="6" bestFit="1" customWidth="1"/>
    <col min="7034" max="7035" width="0.88671875" style="6"/>
    <col min="7036" max="7036" width="24.33203125" style="6" customWidth="1"/>
    <col min="7037" max="7042" width="0.88671875" style="6"/>
    <col min="7043" max="7043" width="10" style="6" bestFit="1" customWidth="1"/>
    <col min="7044" max="7237" width="0.88671875" style="6"/>
    <col min="7238" max="7238" width="0.88671875" style="6" customWidth="1"/>
    <col min="7239" max="7241" width="0.88671875" style="6"/>
    <col min="7242" max="7242" width="0.88671875" style="6" customWidth="1"/>
    <col min="7243" max="7254" width="0.88671875" style="6"/>
    <col min="7255" max="7256" width="0.88671875" style="6" customWidth="1"/>
    <col min="7257" max="7287" width="0.88671875" style="6"/>
    <col min="7288" max="7288" width="11.6640625" style="6" bestFit="1" customWidth="1"/>
    <col min="7289" max="7289" width="18.88671875" style="6" bestFit="1" customWidth="1"/>
    <col min="7290" max="7291" width="0.88671875" style="6"/>
    <col min="7292" max="7292" width="24.33203125" style="6" customWidth="1"/>
    <col min="7293" max="7298" width="0.88671875" style="6"/>
    <col min="7299" max="7299" width="10" style="6" bestFit="1" customWidth="1"/>
    <col min="7300" max="7493" width="0.88671875" style="6"/>
    <col min="7494" max="7494" width="0.88671875" style="6" customWidth="1"/>
    <col min="7495" max="7497" width="0.88671875" style="6"/>
    <col min="7498" max="7498" width="0.88671875" style="6" customWidth="1"/>
    <col min="7499" max="7510" width="0.88671875" style="6"/>
    <col min="7511" max="7512" width="0.88671875" style="6" customWidth="1"/>
    <col min="7513" max="7543" width="0.88671875" style="6"/>
    <col min="7544" max="7544" width="11.6640625" style="6" bestFit="1" customWidth="1"/>
    <col min="7545" max="7545" width="18.88671875" style="6" bestFit="1" customWidth="1"/>
    <col min="7546" max="7547" width="0.88671875" style="6"/>
    <col min="7548" max="7548" width="24.33203125" style="6" customWidth="1"/>
    <col min="7549" max="7554" width="0.88671875" style="6"/>
    <col min="7555" max="7555" width="10" style="6" bestFit="1" customWidth="1"/>
    <col min="7556" max="7749" width="0.88671875" style="6"/>
    <col min="7750" max="7750" width="0.88671875" style="6" customWidth="1"/>
    <col min="7751" max="7753" width="0.88671875" style="6"/>
    <col min="7754" max="7754" width="0.88671875" style="6" customWidth="1"/>
    <col min="7755" max="7766" width="0.88671875" style="6"/>
    <col min="7767" max="7768" width="0.88671875" style="6" customWidth="1"/>
    <col min="7769" max="7799" width="0.88671875" style="6"/>
    <col min="7800" max="7800" width="11.6640625" style="6" bestFit="1" customWidth="1"/>
    <col min="7801" max="7801" width="18.88671875" style="6" bestFit="1" customWidth="1"/>
    <col min="7802" max="7803" width="0.88671875" style="6"/>
    <col min="7804" max="7804" width="24.33203125" style="6" customWidth="1"/>
    <col min="7805" max="7810" width="0.88671875" style="6"/>
    <col min="7811" max="7811" width="10" style="6" bestFit="1" customWidth="1"/>
    <col min="7812" max="8005" width="0.88671875" style="6"/>
    <col min="8006" max="8006" width="0.88671875" style="6" customWidth="1"/>
    <col min="8007" max="8009" width="0.88671875" style="6"/>
    <col min="8010" max="8010" width="0.88671875" style="6" customWidth="1"/>
    <col min="8011" max="8022" width="0.88671875" style="6"/>
    <col min="8023" max="8024" width="0.88671875" style="6" customWidth="1"/>
    <col min="8025" max="8055" width="0.88671875" style="6"/>
    <col min="8056" max="8056" width="11.6640625" style="6" bestFit="1" customWidth="1"/>
    <col min="8057" max="8057" width="18.88671875" style="6" bestFit="1" customWidth="1"/>
    <col min="8058" max="8059" width="0.88671875" style="6"/>
    <col min="8060" max="8060" width="24.33203125" style="6" customWidth="1"/>
    <col min="8061" max="8066" width="0.88671875" style="6"/>
    <col min="8067" max="8067" width="10" style="6" bestFit="1" customWidth="1"/>
    <col min="8068" max="8261" width="0.88671875" style="6"/>
    <col min="8262" max="8262" width="0.88671875" style="6" customWidth="1"/>
    <col min="8263" max="8265" width="0.88671875" style="6"/>
    <col min="8266" max="8266" width="0.88671875" style="6" customWidth="1"/>
    <col min="8267" max="8278" width="0.88671875" style="6"/>
    <col min="8279" max="8280" width="0.88671875" style="6" customWidth="1"/>
    <col min="8281" max="8311" width="0.88671875" style="6"/>
    <col min="8312" max="8312" width="11.6640625" style="6" bestFit="1" customWidth="1"/>
    <col min="8313" max="8313" width="18.88671875" style="6" bestFit="1" customWidth="1"/>
    <col min="8314" max="8315" width="0.88671875" style="6"/>
    <col min="8316" max="8316" width="24.33203125" style="6" customWidth="1"/>
    <col min="8317" max="8322" width="0.88671875" style="6"/>
    <col min="8323" max="8323" width="10" style="6" bestFit="1" customWidth="1"/>
    <col min="8324" max="8517" width="0.88671875" style="6"/>
    <col min="8518" max="8518" width="0.88671875" style="6" customWidth="1"/>
    <col min="8519" max="8521" width="0.88671875" style="6"/>
    <col min="8522" max="8522" width="0.88671875" style="6" customWidth="1"/>
    <col min="8523" max="8534" width="0.88671875" style="6"/>
    <col min="8535" max="8536" width="0.88671875" style="6" customWidth="1"/>
    <col min="8537" max="8567" width="0.88671875" style="6"/>
    <col min="8568" max="8568" width="11.6640625" style="6" bestFit="1" customWidth="1"/>
    <col min="8569" max="8569" width="18.88671875" style="6" bestFit="1" customWidth="1"/>
    <col min="8570" max="8571" width="0.88671875" style="6"/>
    <col min="8572" max="8572" width="24.33203125" style="6" customWidth="1"/>
    <col min="8573" max="8578" width="0.88671875" style="6"/>
    <col min="8579" max="8579" width="10" style="6" bestFit="1" customWidth="1"/>
    <col min="8580" max="8773" width="0.88671875" style="6"/>
    <col min="8774" max="8774" width="0.88671875" style="6" customWidth="1"/>
    <col min="8775" max="8777" width="0.88671875" style="6"/>
    <col min="8778" max="8778" width="0.88671875" style="6" customWidth="1"/>
    <col min="8779" max="8790" width="0.88671875" style="6"/>
    <col min="8791" max="8792" width="0.88671875" style="6" customWidth="1"/>
    <col min="8793" max="8823" width="0.88671875" style="6"/>
    <col min="8824" max="8824" width="11.6640625" style="6" bestFit="1" customWidth="1"/>
    <col min="8825" max="8825" width="18.88671875" style="6" bestFit="1" customWidth="1"/>
    <col min="8826" max="8827" width="0.88671875" style="6"/>
    <col min="8828" max="8828" width="24.33203125" style="6" customWidth="1"/>
    <col min="8829" max="8834" width="0.88671875" style="6"/>
    <col min="8835" max="8835" width="10" style="6" bestFit="1" customWidth="1"/>
    <col min="8836" max="9029" width="0.88671875" style="6"/>
    <col min="9030" max="9030" width="0.88671875" style="6" customWidth="1"/>
    <col min="9031" max="9033" width="0.88671875" style="6"/>
    <col min="9034" max="9034" width="0.88671875" style="6" customWidth="1"/>
    <col min="9035" max="9046" width="0.88671875" style="6"/>
    <col min="9047" max="9048" width="0.88671875" style="6" customWidth="1"/>
    <col min="9049" max="9079" width="0.88671875" style="6"/>
    <col min="9080" max="9080" width="11.6640625" style="6" bestFit="1" customWidth="1"/>
    <col min="9081" max="9081" width="18.88671875" style="6" bestFit="1" customWidth="1"/>
    <col min="9082" max="9083" width="0.88671875" style="6"/>
    <col min="9084" max="9084" width="24.33203125" style="6" customWidth="1"/>
    <col min="9085" max="9090" width="0.88671875" style="6"/>
    <col min="9091" max="9091" width="10" style="6" bestFit="1" customWidth="1"/>
    <col min="9092" max="9285" width="0.88671875" style="6"/>
    <col min="9286" max="9286" width="0.88671875" style="6" customWidth="1"/>
    <col min="9287" max="9289" width="0.88671875" style="6"/>
    <col min="9290" max="9290" width="0.88671875" style="6" customWidth="1"/>
    <col min="9291" max="9302" width="0.88671875" style="6"/>
    <col min="9303" max="9304" width="0.88671875" style="6" customWidth="1"/>
    <col min="9305" max="9335" width="0.88671875" style="6"/>
    <col min="9336" max="9336" width="11.6640625" style="6" bestFit="1" customWidth="1"/>
    <col min="9337" max="9337" width="18.88671875" style="6" bestFit="1" customWidth="1"/>
    <col min="9338" max="9339" width="0.88671875" style="6"/>
    <col min="9340" max="9340" width="24.33203125" style="6" customWidth="1"/>
    <col min="9341" max="9346" width="0.88671875" style="6"/>
    <col min="9347" max="9347" width="10" style="6" bestFit="1" customWidth="1"/>
    <col min="9348" max="9541" width="0.88671875" style="6"/>
    <col min="9542" max="9542" width="0.88671875" style="6" customWidth="1"/>
    <col min="9543" max="9545" width="0.88671875" style="6"/>
    <col min="9546" max="9546" width="0.88671875" style="6" customWidth="1"/>
    <col min="9547" max="9558" width="0.88671875" style="6"/>
    <col min="9559" max="9560" width="0.88671875" style="6" customWidth="1"/>
    <col min="9561" max="9591" width="0.88671875" style="6"/>
    <col min="9592" max="9592" width="11.6640625" style="6" bestFit="1" customWidth="1"/>
    <col min="9593" max="9593" width="18.88671875" style="6" bestFit="1" customWidth="1"/>
    <col min="9594" max="9595" width="0.88671875" style="6"/>
    <col min="9596" max="9596" width="24.33203125" style="6" customWidth="1"/>
    <col min="9597" max="9602" width="0.88671875" style="6"/>
    <col min="9603" max="9603" width="10" style="6" bestFit="1" customWidth="1"/>
    <col min="9604" max="9797" width="0.88671875" style="6"/>
    <col min="9798" max="9798" width="0.88671875" style="6" customWidth="1"/>
    <col min="9799" max="9801" width="0.88671875" style="6"/>
    <col min="9802" max="9802" width="0.88671875" style="6" customWidth="1"/>
    <col min="9803" max="9814" width="0.88671875" style="6"/>
    <col min="9815" max="9816" width="0.88671875" style="6" customWidth="1"/>
    <col min="9817" max="9847" width="0.88671875" style="6"/>
    <col min="9848" max="9848" width="11.6640625" style="6" bestFit="1" customWidth="1"/>
    <col min="9849" max="9849" width="18.88671875" style="6" bestFit="1" customWidth="1"/>
    <col min="9850" max="9851" width="0.88671875" style="6"/>
    <col min="9852" max="9852" width="24.33203125" style="6" customWidth="1"/>
    <col min="9853" max="9858" width="0.88671875" style="6"/>
    <col min="9859" max="9859" width="10" style="6" bestFit="1" customWidth="1"/>
    <col min="9860" max="10053" width="0.88671875" style="6"/>
    <col min="10054" max="10054" width="0.88671875" style="6" customWidth="1"/>
    <col min="10055" max="10057" width="0.88671875" style="6"/>
    <col min="10058" max="10058" width="0.88671875" style="6" customWidth="1"/>
    <col min="10059" max="10070" width="0.88671875" style="6"/>
    <col min="10071" max="10072" width="0.88671875" style="6" customWidth="1"/>
    <col min="10073" max="10103" width="0.88671875" style="6"/>
    <col min="10104" max="10104" width="11.6640625" style="6" bestFit="1" customWidth="1"/>
    <col min="10105" max="10105" width="18.88671875" style="6" bestFit="1" customWidth="1"/>
    <col min="10106" max="10107" width="0.88671875" style="6"/>
    <col min="10108" max="10108" width="24.33203125" style="6" customWidth="1"/>
    <col min="10109" max="10114" width="0.88671875" style="6"/>
    <col min="10115" max="10115" width="10" style="6" bestFit="1" customWidth="1"/>
    <col min="10116" max="10309" width="0.88671875" style="6"/>
    <col min="10310" max="10310" width="0.88671875" style="6" customWidth="1"/>
    <col min="10311" max="10313" width="0.88671875" style="6"/>
    <col min="10314" max="10314" width="0.88671875" style="6" customWidth="1"/>
    <col min="10315" max="10326" width="0.88671875" style="6"/>
    <col min="10327" max="10328" width="0.88671875" style="6" customWidth="1"/>
    <col min="10329" max="10359" width="0.88671875" style="6"/>
    <col min="10360" max="10360" width="11.6640625" style="6" bestFit="1" customWidth="1"/>
    <col min="10361" max="10361" width="18.88671875" style="6" bestFit="1" customWidth="1"/>
    <col min="10362" max="10363" width="0.88671875" style="6"/>
    <col min="10364" max="10364" width="24.33203125" style="6" customWidth="1"/>
    <col min="10365" max="10370" width="0.88671875" style="6"/>
    <col min="10371" max="10371" width="10" style="6" bestFit="1" customWidth="1"/>
    <col min="10372" max="10565" width="0.88671875" style="6"/>
    <col min="10566" max="10566" width="0.88671875" style="6" customWidth="1"/>
    <col min="10567" max="10569" width="0.88671875" style="6"/>
    <col min="10570" max="10570" width="0.88671875" style="6" customWidth="1"/>
    <col min="10571" max="10582" width="0.88671875" style="6"/>
    <col min="10583" max="10584" width="0.88671875" style="6" customWidth="1"/>
    <col min="10585" max="10615" width="0.88671875" style="6"/>
    <col min="10616" max="10616" width="11.6640625" style="6" bestFit="1" customWidth="1"/>
    <col min="10617" max="10617" width="18.88671875" style="6" bestFit="1" customWidth="1"/>
    <col min="10618" max="10619" width="0.88671875" style="6"/>
    <col min="10620" max="10620" width="24.33203125" style="6" customWidth="1"/>
    <col min="10621" max="10626" width="0.88671875" style="6"/>
    <col min="10627" max="10627" width="10" style="6" bestFit="1" customWidth="1"/>
    <col min="10628" max="10821" width="0.88671875" style="6"/>
    <col min="10822" max="10822" width="0.88671875" style="6" customWidth="1"/>
    <col min="10823" max="10825" width="0.88671875" style="6"/>
    <col min="10826" max="10826" width="0.88671875" style="6" customWidth="1"/>
    <col min="10827" max="10838" width="0.88671875" style="6"/>
    <col min="10839" max="10840" width="0.88671875" style="6" customWidth="1"/>
    <col min="10841" max="10871" width="0.88671875" style="6"/>
    <col min="10872" max="10872" width="11.6640625" style="6" bestFit="1" customWidth="1"/>
    <col min="10873" max="10873" width="18.88671875" style="6" bestFit="1" customWidth="1"/>
    <col min="10874" max="10875" width="0.88671875" style="6"/>
    <col min="10876" max="10876" width="24.33203125" style="6" customWidth="1"/>
    <col min="10877" max="10882" width="0.88671875" style="6"/>
    <col min="10883" max="10883" width="10" style="6" bestFit="1" customWidth="1"/>
    <col min="10884" max="11077" width="0.88671875" style="6"/>
    <col min="11078" max="11078" width="0.88671875" style="6" customWidth="1"/>
    <col min="11079" max="11081" width="0.88671875" style="6"/>
    <col min="11082" max="11082" width="0.88671875" style="6" customWidth="1"/>
    <col min="11083" max="11094" width="0.88671875" style="6"/>
    <col min="11095" max="11096" width="0.88671875" style="6" customWidth="1"/>
    <col min="11097" max="11127" width="0.88671875" style="6"/>
    <col min="11128" max="11128" width="11.6640625" style="6" bestFit="1" customWidth="1"/>
    <col min="11129" max="11129" width="18.88671875" style="6" bestFit="1" customWidth="1"/>
    <col min="11130" max="11131" width="0.88671875" style="6"/>
    <col min="11132" max="11132" width="24.33203125" style="6" customWidth="1"/>
    <col min="11133" max="11138" width="0.88671875" style="6"/>
    <col min="11139" max="11139" width="10" style="6" bestFit="1" customWidth="1"/>
    <col min="11140" max="11333" width="0.88671875" style="6"/>
    <col min="11334" max="11334" width="0.88671875" style="6" customWidth="1"/>
    <col min="11335" max="11337" width="0.88671875" style="6"/>
    <col min="11338" max="11338" width="0.88671875" style="6" customWidth="1"/>
    <col min="11339" max="11350" width="0.88671875" style="6"/>
    <col min="11351" max="11352" width="0.88671875" style="6" customWidth="1"/>
    <col min="11353" max="11383" width="0.88671875" style="6"/>
    <col min="11384" max="11384" width="11.6640625" style="6" bestFit="1" customWidth="1"/>
    <col min="11385" max="11385" width="18.88671875" style="6" bestFit="1" customWidth="1"/>
    <col min="11386" max="11387" width="0.88671875" style="6"/>
    <col min="11388" max="11388" width="24.33203125" style="6" customWidth="1"/>
    <col min="11389" max="11394" width="0.88671875" style="6"/>
    <col min="11395" max="11395" width="10" style="6" bestFit="1" customWidth="1"/>
    <col min="11396" max="11589" width="0.88671875" style="6"/>
    <col min="11590" max="11590" width="0.88671875" style="6" customWidth="1"/>
    <col min="11591" max="11593" width="0.88671875" style="6"/>
    <col min="11594" max="11594" width="0.88671875" style="6" customWidth="1"/>
    <col min="11595" max="11606" width="0.88671875" style="6"/>
    <col min="11607" max="11608" width="0.88671875" style="6" customWidth="1"/>
    <col min="11609" max="11639" width="0.88671875" style="6"/>
    <col min="11640" max="11640" width="11.6640625" style="6" bestFit="1" customWidth="1"/>
    <col min="11641" max="11641" width="18.88671875" style="6" bestFit="1" customWidth="1"/>
    <col min="11642" max="11643" width="0.88671875" style="6"/>
    <col min="11644" max="11644" width="24.33203125" style="6" customWidth="1"/>
    <col min="11645" max="11650" width="0.88671875" style="6"/>
    <col min="11651" max="11651" width="10" style="6" bestFit="1" customWidth="1"/>
    <col min="11652" max="11845" width="0.88671875" style="6"/>
    <col min="11846" max="11846" width="0.88671875" style="6" customWidth="1"/>
    <col min="11847" max="11849" width="0.88671875" style="6"/>
    <col min="11850" max="11850" width="0.88671875" style="6" customWidth="1"/>
    <col min="11851" max="11862" width="0.88671875" style="6"/>
    <col min="11863" max="11864" width="0.88671875" style="6" customWidth="1"/>
    <col min="11865" max="11895" width="0.88671875" style="6"/>
    <col min="11896" max="11896" width="11.6640625" style="6" bestFit="1" customWidth="1"/>
    <col min="11897" max="11897" width="18.88671875" style="6" bestFit="1" customWidth="1"/>
    <col min="11898" max="11899" width="0.88671875" style="6"/>
    <col min="11900" max="11900" width="24.33203125" style="6" customWidth="1"/>
    <col min="11901" max="11906" width="0.88671875" style="6"/>
    <col min="11907" max="11907" width="10" style="6" bestFit="1" customWidth="1"/>
    <col min="11908" max="12101" width="0.88671875" style="6"/>
    <col min="12102" max="12102" width="0.88671875" style="6" customWidth="1"/>
    <col min="12103" max="12105" width="0.88671875" style="6"/>
    <col min="12106" max="12106" width="0.88671875" style="6" customWidth="1"/>
    <col min="12107" max="12118" width="0.88671875" style="6"/>
    <col min="12119" max="12120" width="0.88671875" style="6" customWidth="1"/>
    <col min="12121" max="12151" width="0.88671875" style="6"/>
    <col min="12152" max="12152" width="11.6640625" style="6" bestFit="1" customWidth="1"/>
    <col min="12153" max="12153" width="18.88671875" style="6" bestFit="1" customWidth="1"/>
    <col min="12154" max="12155" width="0.88671875" style="6"/>
    <col min="12156" max="12156" width="24.33203125" style="6" customWidth="1"/>
    <col min="12157" max="12162" width="0.88671875" style="6"/>
    <col min="12163" max="12163" width="10" style="6" bestFit="1" customWidth="1"/>
    <col min="12164" max="12357" width="0.88671875" style="6"/>
    <col min="12358" max="12358" width="0.88671875" style="6" customWidth="1"/>
    <col min="12359" max="12361" width="0.88671875" style="6"/>
    <col min="12362" max="12362" width="0.88671875" style="6" customWidth="1"/>
    <col min="12363" max="12374" width="0.88671875" style="6"/>
    <col min="12375" max="12376" width="0.88671875" style="6" customWidth="1"/>
    <col min="12377" max="12407" width="0.88671875" style="6"/>
    <col min="12408" max="12408" width="11.6640625" style="6" bestFit="1" customWidth="1"/>
    <col min="12409" max="12409" width="18.88671875" style="6" bestFit="1" customWidth="1"/>
    <col min="12410" max="12411" width="0.88671875" style="6"/>
    <col min="12412" max="12412" width="24.33203125" style="6" customWidth="1"/>
    <col min="12413" max="12418" width="0.88671875" style="6"/>
    <col min="12419" max="12419" width="10" style="6" bestFit="1" customWidth="1"/>
    <col min="12420" max="12613" width="0.88671875" style="6"/>
    <col min="12614" max="12614" width="0.88671875" style="6" customWidth="1"/>
    <col min="12615" max="12617" width="0.88671875" style="6"/>
    <col min="12618" max="12618" width="0.88671875" style="6" customWidth="1"/>
    <col min="12619" max="12630" width="0.88671875" style="6"/>
    <col min="12631" max="12632" width="0.88671875" style="6" customWidth="1"/>
    <col min="12633" max="12663" width="0.88671875" style="6"/>
    <col min="12664" max="12664" width="11.6640625" style="6" bestFit="1" customWidth="1"/>
    <col min="12665" max="12665" width="18.88671875" style="6" bestFit="1" customWidth="1"/>
    <col min="12666" max="12667" width="0.88671875" style="6"/>
    <col min="12668" max="12668" width="24.33203125" style="6" customWidth="1"/>
    <col min="12669" max="12674" width="0.88671875" style="6"/>
    <col min="12675" max="12675" width="10" style="6" bestFit="1" customWidth="1"/>
    <col min="12676" max="12869" width="0.88671875" style="6"/>
    <col min="12870" max="12870" width="0.88671875" style="6" customWidth="1"/>
    <col min="12871" max="12873" width="0.88671875" style="6"/>
    <col min="12874" max="12874" width="0.88671875" style="6" customWidth="1"/>
    <col min="12875" max="12886" width="0.88671875" style="6"/>
    <col min="12887" max="12888" width="0.88671875" style="6" customWidth="1"/>
    <col min="12889" max="12919" width="0.88671875" style="6"/>
    <col min="12920" max="12920" width="11.6640625" style="6" bestFit="1" customWidth="1"/>
    <col min="12921" max="12921" width="18.88671875" style="6" bestFit="1" customWidth="1"/>
    <col min="12922" max="12923" width="0.88671875" style="6"/>
    <col min="12924" max="12924" width="24.33203125" style="6" customWidth="1"/>
    <col min="12925" max="12930" width="0.88671875" style="6"/>
    <col min="12931" max="12931" width="10" style="6" bestFit="1" customWidth="1"/>
    <col min="12932" max="13125" width="0.88671875" style="6"/>
    <col min="13126" max="13126" width="0.88671875" style="6" customWidth="1"/>
    <col min="13127" max="13129" width="0.88671875" style="6"/>
    <col min="13130" max="13130" width="0.88671875" style="6" customWidth="1"/>
    <col min="13131" max="13142" width="0.88671875" style="6"/>
    <col min="13143" max="13144" width="0.88671875" style="6" customWidth="1"/>
    <col min="13145" max="13175" width="0.88671875" style="6"/>
    <col min="13176" max="13176" width="11.6640625" style="6" bestFit="1" customWidth="1"/>
    <col min="13177" max="13177" width="18.88671875" style="6" bestFit="1" customWidth="1"/>
    <col min="13178" max="13179" width="0.88671875" style="6"/>
    <col min="13180" max="13180" width="24.33203125" style="6" customWidth="1"/>
    <col min="13181" max="13186" width="0.88671875" style="6"/>
    <col min="13187" max="13187" width="10" style="6" bestFit="1" customWidth="1"/>
    <col min="13188" max="13381" width="0.88671875" style="6"/>
    <col min="13382" max="13382" width="0.88671875" style="6" customWidth="1"/>
    <col min="13383" max="13385" width="0.88671875" style="6"/>
    <col min="13386" max="13386" width="0.88671875" style="6" customWidth="1"/>
    <col min="13387" max="13398" width="0.88671875" style="6"/>
    <col min="13399" max="13400" width="0.88671875" style="6" customWidth="1"/>
    <col min="13401" max="13431" width="0.88671875" style="6"/>
    <col min="13432" max="13432" width="11.6640625" style="6" bestFit="1" customWidth="1"/>
    <col min="13433" max="13433" width="18.88671875" style="6" bestFit="1" customWidth="1"/>
    <col min="13434" max="13435" width="0.88671875" style="6"/>
    <col min="13436" max="13436" width="24.33203125" style="6" customWidth="1"/>
    <col min="13437" max="13442" width="0.88671875" style="6"/>
    <col min="13443" max="13443" width="10" style="6" bestFit="1" customWidth="1"/>
    <col min="13444" max="13637" width="0.88671875" style="6"/>
    <col min="13638" max="13638" width="0.88671875" style="6" customWidth="1"/>
    <col min="13639" max="13641" width="0.88671875" style="6"/>
    <col min="13642" max="13642" width="0.88671875" style="6" customWidth="1"/>
    <col min="13643" max="13654" width="0.88671875" style="6"/>
    <col min="13655" max="13656" width="0.88671875" style="6" customWidth="1"/>
    <col min="13657" max="13687" width="0.88671875" style="6"/>
    <col min="13688" max="13688" width="11.6640625" style="6" bestFit="1" customWidth="1"/>
    <col min="13689" max="13689" width="18.88671875" style="6" bestFit="1" customWidth="1"/>
    <col min="13690" max="13691" width="0.88671875" style="6"/>
    <col min="13692" max="13692" width="24.33203125" style="6" customWidth="1"/>
    <col min="13693" max="13698" width="0.88671875" style="6"/>
    <col min="13699" max="13699" width="10" style="6" bestFit="1" customWidth="1"/>
    <col min="13700" max="13893" width="0.88671875" style="6"/>
    <col min="13894" max="13894" width="0.88671875" style="6" customWidth="1"/>
    <col min="13895" max="13897" width="0.88671875" style="6"/>
    <col min="13898" max="13898" width="0.88671875" style="6" customWidth="1"/>
    <col min="13899" max="13910" width="0.88671875" style="6"/>
    <col min="13911" max="13912" width="0.88671875" style="6" customWidth="1"/>
    <col min="13913" max="13943" width="0.88671875" style="6"/>
    <col min="13944" max="13944" width="11.6640625" style="6" bestFit="1" customWidth="1"/>
    <col min="13945" max="13945" width="18.88671875" style="6" bestFit="1" customWidth="1"/>
    <col min="13946" max="13947" width="0.88671875" style="6"/>
    <col min="13948" max="13948" width="24.33203125" style="6" customWidth="1"/>
    <col min="13949" max="13954" width="0.88671875" style="6"/>
    <col min="13955" max="13955" width="10" style="6" bestFit="1" customWidth="1"/>
    <col min="13956" max="14149" width="0.88671875" style="6"/>
    <col min="14150" max="14150" width="0.88671875" style="6" customWidth="1"/>
    <col min="14151" max="14153" width="0.88671875" style="6"/>
    <col min="14154" max="14154" width="0.88671875" style="6" customWidth="1"/>
    <col min="14155" max="14166" width="0.88671875" style="6"/>
    <col min="14167" max="14168" width="0.88671875" style="6" customWidth="1"/>
    <col min="14169" max="14199" width="0.88671875" style="6"/>
    <col min="14200" max="14200" width="11.6640625" style="6" bestFit="1" customWidth="1"/>
    <col min="14201" max="14201" width="18.88671875" style="6" bestFit="1" customWidth="1"/>
    <col min="14202" max="14203" width="0.88671875" style="6"/>
    <col min="14204" max="14204" width="24.33203125" style="6" customWidth="1"/>
    <col min="14205" max="14210" width="0.88671875" style="6"/>
    <col min="14211" max="14211" width="10" style="6" bestFit="1" customWidth="1"/>
    <col min="14212" max="14405" width="0.88671875" style="6"/>
    <col min="14406" max="14406" width="0.88671875" style="6" customWidth="1"/>
    <col min="14407" max="14409" width="0.88671875" style="6"/>
    <col min="14410" max="14410" width="0.88671875" style="6" customWidth="1"/>
    <col min="14411" max="14422" width="0.88671875" style="6"/>
    <col min="14423" max="14424" width="0.88671875" style="6" customWidth="1"/>
    <col min="14425" max="14455" width="0.88671875" style="6"/>
    <col min="14456" max="14456" width="11.6640625" style="6" bestFit="1" customWidth="1"/>
    <col min="14457" max="14457" width="18.88671875" style="6" bestFit="1" customWidth="1"/>
    <col min="14458" max="14459" width="0.88671875" style="6"/>
    <col min="14460" max="14460" width="24.33203125" style="6" customWidth="1"/>
    <col min="14461" max="14466" width="0.88671875" style="6"/>
    <col min="14467" max="14467" width="10" style="6" bestFit="1" customWidth="1"/>
    <col min="14468" max="14661" width="0.88671875" style="6"/>
    <col min="14662" max="14662" width="0.88671875" style="6" customWidth="1"/>
    <col min="14663" max="14665" width="0.88671875" style="6"/>
    <col min="14666" max="14666" width="0.88671875" style="6" customWidth="1"/>
    <col min="14667" max="14678" width="0.88671875" style="6"/>
    <col min="14679" max="14680" width="0.88671875" style="6" customWidth="1"/>
    <col min="14681" max="14711" width="0.88671875" style="6"/>
    <col min="14712" max="14712" width="11.6640625" style="6" bestFit="1" customWidth="1"/>
    <col min="14713" max="14713" width="18.88671875" style="6" bestFit="1" customWidth="1"/>
    <col min="14714" max="14715" width="0.88671875" style="6"/>
    <col min="14716" max="14716" width="24.33203125" style="6" customWidth="1"/>
    <col min="14717" max="14722" width="0.88671875" style="6"/>
    <col min="14723" max="14723" width="10" style="6" bestFit="1" customWidth="1"/>
    <col min="14724" max="14917" width="0.88671875" style="6"/>
    <col min="14918" max="14918" width="0.88671875" style="6" customWidth="1"/>
    <col min="14919" max="14921" width="0.88671875" style="6"/>
    <col min="14922" max="14922" width="0.88671875" style="6" customWidth="1"/>
    <col min="14923" max="14934" width="0.88671875" style="6"/>
    <col min="14935" max="14936" width="0.88671875" style="6" customWidth="1"/>
    <col min="14937" max="14967" width="0.88671875" style="6"/>
    <col min="14968" max="14968" width="11.6640625" style="6" bestFit="1" customWidth="1"/>
    <col min="14969" max="14969" width="18.88671875" style="6" bestFit="1" customWidth="1"/>
    <col min="14970" max="14971" width="0.88671875" style="6"/>
    <col min="14972" max="14972" width="24.33203125" style="6" customWidth="1"/>
    <col min="14973" max="14978" width="0.88671875" style="6"/>
    <col min="14979" max="14979" width="10" style="6" bestFit="1" customWidth="1"/>
    <col min="14980" max="15173" width="0.88671875" style="6"/>
    <col min="15174" max="15174" width="0.88671875" style="6" customWidth="1"/>
    <col min="15175" max="15177" width="0.88671875" style="6"/>
    <col min="15178" max="15178" width="0.88671875" style="6" customWidth="1"/>
    <col min="15179" max="15190" width="0.88671875" style="6"/>
    <col min="15191" max="15192" width="0.88671875" style="6" customWidth="1"/>
    <col min="15193" max="15223" width="0.88671875" style="6"/>
    <col min="15224" max="15224" width="11.6640625" style="6" bestFit="1" customWidth="1"/>
    <col min="15225" max="15225" width="18.88671875" style="6" bestFit="1" customWidth="1"/>
    <col min="15226" max="15227" width="0.88671875" style="6"/>
    <col min="15228" max="15228" width="24.33203125" style="6" customWidth="1"/>
    <col min="15229" max="15234" width="0.88671875" style="6"/>
    <col min="15235" max="15235" width="10" style="6" bestFit="1" customWidth="1"/>
    <col min="15236" max="15429" width="0.88671875" style="6"/>
    <col min="15430" max="15430" width="0.88671875" style="6" customWidth="1"/>
    <col min="15431" max="15433" width="0.88671875" style="6"/>
    <col min="15434" max="15434" width="0.88671875" style="6" customWidth="1"/>
    <col min="15435" max="15446" width="0.88671875" style="6"/>
    <col min="15447" max="15448" width="0.88671875" style="6" customWidth="1"/>
    <col min="15449" max="15479" width="0.88671875" style="6"/>
    <col min="15480" max="15480" width="11.6640625" style="6" bestFit="1" customWidth="1"/>
    <col min="15481" max="15481" width="18.88671875" style="6" bestFit="1" customWidth="1"/>
    <col min="15482" max="15483" width="0.88671875" style="6"/>
    <col min="15484" max="15484" width="24.33203125" style="6" customWidth="1"/>
    <col min="15485" max="15490" width="0.88671875" style="6"/>
    <col min="15491" max="15491" width="10" style="6" bestFit="1" customWidth="1"/>
    <col min="15492" max="15685" width="0.88671875" style="6"/>
    <col min="15686" max="15686" width="0.88671875" style="6" customWidth="1"/>
    <col min="15687" max="15689" width="0.88671875" style="6"/>
    <col min="15690" max="15690" width="0.88671875" style="6" customWidth="1"/>
    <col min="15691" max="15702" width="0.88671875" style="6"/>
    <col min="15703" max="15704" width="0.88671875" style="6" customWidth="1"/>
    <col min="15705" max="15735" width="0.88671875" style="6"/>
    <col min="15736" max="15736" width="11.6640625" style="6" bestFit="1" customWidth="1"/>
    <col min="15737" max="15737" width="18.88671875" style="6" bestFit="1" customWidth="1"/>
    <col min="15738" max="15739" width="0.88671875" style="6"/>
    <col min="15740" max="15740" width="24.33203125" style="6" customWidth="1"/>
    <col min="15741" max="15746" width="0.88671875" style="6"/>
    <col min="15747" max="15747" width="10" style="6" bestFit="1" customWidth="1"/>
    <col min="15748" max="15941" width="0.88671875" style="6"/>
    <col min="15942" max="15942" width="0.88671875" style="6" customWidth="1"/>
    <col min="15943" max="15945" width="0.88671875" style="6"/>
    <col min="15946" max="15946" width="0.88671875" style="6" customWidth="1"/>
    <col min="15947" max="15958" width="0.88671875" style="6"/>
    <col min="15959" max="15960" width="0.88671875" style="6" customWidth="1"/>
    <col min="15961" max="15991" width="0.88671875" style="6"/>
    <col min="15992" max="15992" width="11.6640625" style="6" bestFit="1" customWidth="1"/>
    <col min="15993" max="15993" width="18.88671875" style="6" bestFit="1" customWidth="1"/>
    <col min="15994" max="15995" width="0.88671875" style="6"/>
    <col min="15996" max="15996" width="24.33203125" style="6" customWidth="1"/>
    <col min="15997" max="16002" width="0.88671875" style="6"/>
    <col min="16003" max="16003" width="10" style="6" bestFit="1" customWidth="1"/>
    <col min="16004" max="16197" width="0.88671875" style="6"/>
    <col min="16198" max="16198" width="0.88671875" style="6" customWidth="1"/>
    <col min="16199" max="16201" width="0.88671875" style="6"/>
    <col min="16202" max="16202" width="0.88671875" style="6" customWidth="1"/>
    <col min="16203" max="16214" width="0.88671875" style="6"/>
    <col min="16215" max="16216" width="0.88671875" style="6" customWidth="1"/>
    <col min="16217" max="16247" width="0.88671875" style="6"/>
    <col min="16248" max="16248" width="11.6640625" style="6" bestFit="1" customWidth="1"/>
    <col min="16249" max="16249" width="18.88671875" style="6" bestFit="1" customWidth="1"/>
    <col min="16250" max="16251" width="0.88671875" style="6"/>
    <col min="16252" max="16252" width="24.33203125" style="6" customWidth="1"/>
    <col min="16253" max="16258" width="0.88671875" style="6"/>
    <col min="16259" max="16259" width="10" style="6" bestFit="1" customWidth="1"/>
    <col min="16260" max="16384" width="0.88671875" style="6"/>
  </cols>
  <sheetData>
    <row r="1" spans="1:132" s="5" customFormat="1" ht="13.2">
      <c r="BQ1" s="5" t="s">
        <v>17</v>
      </c>
    </row>
    <row r="2" spans="1:132" s="5" customFormat="1" ht="39.75" customHeight="1">
      <c r="BQ2" s="163" t="s">
        <v>5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</row>
    <row r="3" spans="1:132" ht="3" customHeight="1"/>
    <row r="4" spans="1:132" s="7" customFormat="1" ht="24" customHeight="1">
      <c r="BQ4" s="164" t="s">
        <v>6</v>
      </c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</row>
    <row r="7" spans="1:132" s="8" customFormat="1" ht="16.8">
      <c r="A7" s="165" t="s">
        <v>7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</row>
    <row r="8" spans="1:132" s="8" customFormat="1" ht="6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</row>
    <row r="9" spans="1:132" s="8" customFormat="1" ht="48" customHeight="1">
      <c r="A9" s="166" t="s">
        <v>18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</row>
    <row r="11" spans="1:132" s="5" customFormat="1" ht="145.5" customHeight="1">
      <c r="A11" s="16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8"/>
      <c r="AN11" s="169" t="s">
        <v>170</v>
      </c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1"/>
      <c r="BJ11" s="169" t="s">
        <v>19</v>
      </c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1"/>
      <c r="CF11" s="169" t="s">
        <v>20</v>
      </c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</row>
    <row r="12" spans="1:132" s="5" customFormat="1" ht="27.75" customHeight="1">
      <c r="A12" s="172" t="s">
        <v>11</v>
      </c>
      <c r="B12" s="172"/>
      <c r="C12" s="172"/>
      <c r="D12" s="172"/>
      <c r="E12" s="172"/>
      <c r="F12" s="173" t="s">
        <v>21</v>
      </c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4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6"/>
      <c r="BJ12" s="174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6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</row>
    <row r="13" spans="1:132" s="5" customFormat="1" ht="15" customHeight="1">
      <c r="A13" s="172"/>
      <c r="B13" s="172"/>
      <c r="C13" s="172"/>
      <c r="D13" s="172"/>
      <c r="E13" s="172"/>
      <c r="F13" s="173" t="s">
        <v>22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80">
        <v>62491.453999999998</v>
      </c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2"/>
      <c r="BJ13" s="180">
        <v>6.0359999999999996</v>
      </c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2"/>
      <c r="CF13" s="181">
        <v>3680.5630000000001</v>
      </c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P13" s="15"/>
      <c r="DQ13" s="16"/>
      <c r="DR13" s="17"/>
      <c r="DS13" s="17"/>
      <c r="DT13" s="15"/>
      <c r="DU13" s="17"/>
      <c r="DV13" s="17"/>
      <c r="DW13" s="17"/>
      <c r="DX13" s="17"/>
      <c r="DY13" s="17"/>
      <c r="DZ13" s="17"/>
      <c r="EA13" s="17"/>
      <c r="EB13" s="17"/>
    </row>
    <row r="14" spans="1:132" s="5" customFormat="1" ht="15" customHeight="1">
      <c r="A14" s="172"/>
      <c r="B14" s="172"/>
      <c r="C14" s="172"/>
      <c r="D14" s="172"/>
      <c r="E14" s="172"/>
      <c r="F14" s="173" t="s">
        <v>23</v>
      </c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80">
        <v>26023.829000000002</v>
      </c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2"/>
      <c r="BJ14" s="180">
        <v>2.9980000000000002</v>
      </c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2"/>
      <c r="CF14" s="181">
        <v>3165.4</v>
      </c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P14" s="15"/>
      <c r="DQ14" s="16"/>
      <c r="DR14" s="17"/>
      <c r="DS14" s="17"/>
      <c r="DT14" s="15"/>
      <c r="DU14" s="17"/>
      <c r="DV14" s="17"/>
      <c r="DW14" s="17"/>
      <c r="DX14" s="17"/>
      <c r="DY14" s="17"/>
      <c r="DZ14" s="17"/>
      <c r="EA14" s="17"/>
      <c r="EB14" s="17"/>
    </row>
    <row r="15" spans="1:132" s="5" customFormat="1" ht="15" customHeight="1">
      <c r="A15" s="172"/>
      <c r="B15" s="172"/>
      <c r="C15" s="172"/>
      <c r="D15" s="172"/>
      <c r="E15" s="172"/>
      <c r="F15" s="173" t="s">
        <v>24</v>
      </c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80">
        <v>0</v>
      </c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2"/>
      <c r="BJ15" s="180">
        <v>0</v>
      </c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2"/>
      <c r="CF15" s="181">
        <v>0</v>
      </c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P15" s="15"/>
      <c r="DQ15" s="16"/>
      <c r="DR15" s="17"/>
      <c r="DS15" s="17"/>
      <c r="DT15" s="15"/>
      <c r="DU15" s="17"/>
      <c r="DV15" s="17"/>
      <c r="DW15" s="17"/>
      <c r="DX15" s="17"/>
      <c r="DY15" s="17"/>
      <c r="DZ15" s="17"/>
      <c r="EA15" s="17"/>
      <c r="EB15" s="17"/>
    </row>
    <row r="16" spans="1:132" s="5" customFormat="1" ht="27.75" customHeight="1">
      <c r="A16" s="172" t="s">
        <v>13</v>
      </c>
      <c r="B16" s="172"/>
      <c r="C16" s="172"/>
      <c r="D16" s="172"/>
      <c r="E16" s="172"/>
      <c r="F16" s="173" t="s">
        <v>25</v>
      </c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80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2"/>
      <c r="BJ16" s="180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2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P16" s="15"/>
      <c r="DQ16" s="16"/>
      <c r="DR16" s="17"/>
      <c r="DS16" s="17"/>
      <c r="DT16" s="15"/>
      <c r="DU16" s="17"/>
      <c r="DV16" s="17"/>
      <c r="DW16" s="17"/>
      <c r="DX16" s="17"/>
      <c r="DY16" s="17"/>
      <c r="DZ16" s="17"/>
      <c r="EA16" s="17"/>
      <c r="EB16" s="17"/>
    </row>
    <row r="17" spans="1:132" s="5" customFormat="1" ht="15" customHeight="1">
      <c r="A17" s="172"/>
      <c r="B17" s="172"/>
      <c r="C17" s="172"/>
      <c r="D17" s="172"/>
      <c r="E17" s="172"/>
      <c r="F17" s="173" t="s">
        <v>22</v>
      </c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80">
        <v>13689.401</v>
      </c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2"/>
      <c r="BJ17" s="180">
        <v>6.6070000000000002</v>
      </c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2"/>
      <c r="CF17" s="181">
        <v>432.83300000000003</v>
      </c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P17" s="15"/>
      <c r="DQ17" s="16"/>
      <c r="DR17" s="17"/>
      <c r="DS17" s="17"/>
      <c r="DT17" s="15"/>
      <c r="DU17" s="17"/>
      <c r="DV17" s="17"/>
      <c r="DW17" s="17"/>
      <c r="DX17" s="17"/>
      <c r="DY17" s="17"/>
      <c r="DZ17" s="17"/>
      <c r="EA17" s="17"/>
      <c r="EB17" s="17"/>
    </row>
    <row r="18" spans="1:132" s="5" customFormat="1" ht="15" customHeight="1">
      <c r="A18" s="172"/>
      <c r="B18" s="172"/>
      <c r="C18" s="172"/>
      <c r="D18" s="172"/>
      <c r="E18" s="172"/>
      <c r="F18" s="173" t="s">
        <v>23</v>
      </c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80">
        <v>1472.847</v>
      </c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2"/>
      <c r="BJ18" s="180">
        <v>0.25900000000000001</v>
      </c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2"/>
      <c r="CF18" s="181">
        <v>1416.3330000000001</v>
      </c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P18" s="15"/>
      <c r="DQ18" s="16"/>
      <c r="DR18" s="17"/>
      <c r="DS18" s="17"/>
      <c r="DT18" s="15"/>
      <c r="DU18" s="17"/>
      <c r="DV18" s="17"/>
      <c r="DW18" s="17"/>
      <c r="DX18" s="17"/>
      <c r="DY18" s="17"/>
      <c r="DZ18" s="17"/>
      <c r="EA18" s="17"/>
      <c r="EB18" s="17"/>
    </row>
    <row r="19" spans="1:132" s="5" customFormat="1" ht="15" customHeight="1">
      <c r="A19" s="172"/>
      <c r="B19" s="172"/>
      <c r="C19" s="172"/>
      <c r="D19" s="172"/>
      <c r="E19" s="172"/>
      <c r="F19" s="173" t="s">
        <v>24</v>
      </c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80">
        <v>0</v>
      </c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2"/>
      <c r="BJ19" s="180">
        <v>0</v>
      </c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2"/>
      <c r="CF19" s="181">
        <v>0</v>
      </c>
      <c r="CG19" s="181"/>
      <c r="CH19" s="181"/>
      <c r="CI19" s="181"/>
      <c r="CJ19" s="181"/>
      <c r="CK19" s="181"/>
      <c r="CL19" s="181"/>
      <c r="CM19" s="181"/>
      <c r="CN19" s="181"/>
      <c r="CO19" s="181"/>
      <c r="CP19" s="181"/>
      <c r="CQ19" s="181"/>
      <c r="CR19" s="181"/>
      <c r="CS19" s="181"/>
      <c r="CT19" s="181"/>
      <c r="CU19" s="181"/>
      <c r="CV19" s="181"/>
      <c r="CW19" s="181"/>
      <c r="CX19" s="181"/>
      <c r="CY19" s="181"/>
      <c r="CZ19" s="181"/>
      <c r="DA19" s="181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</row>
  </sheetData>
  <mergeCells count="48">
    <mergeCell ref="A18:E18"/>
    <mergeCell ref="F18:AM18"/>
    <mergeCell ref="AN18:BI18"/>
    <mergeCell ref="BJ18:CE18"/>
    <mergeCell ref="CF18:DA18"/>
    <mergeCell ref="A19:E19"/>
    <mergeCell ref="F19:AM19"/>
    <mergeCell ref="AN19:BI19"/>
    <mergeCell ref="BJ19:CE19"/>
    <mergeCell ref="CF19:DA19"/>
    <mergeCell ref="A16:E16"/>
    <mergeCell ref="F16:AM16"/>
    <mergeCell ref="AN16:BI16"/>
    <mergeCell ref="BJ16:CE16"/>
    <mergeCell ref="CF16:DA16"/>
    <mergeCell ref="A17:E17"/>
    <mergeCell ref="F17:AM17"/>
    <mergeCell ref="AN17:BI17"/>
    <mergeCell ref="BJ17:CE17"/>
    <mergeCell ref="CF17:DA17"/>
    <mergeCell ref="A14:E14"/>
    <mergeCell ref="F14:AM14"/>
    <mergeCell ref="AN14:BI14"/>
    <mergeCell ref="BJ14:CE14"/>
    <mergeCell ref="CF14:DA14"/>
    <mergeCell ref="A15:E15"/>
    <mergeCell ref="F15:AM15"/>
    <mergeCell ref="AN15:BI15"/>
    <mergeCell ref="BJ15:CE15"/>
    <mergeCell ref="CF15:DA15"/>
    <mergeCell ref="A12:E12"/>
    <mergeCell ref="F12:AM12"/>
    <mergeCell ref="AN12:BI12"/>
    <mergeCell ref="BJ12:CE12"/>
    <mergeCell ref="CF12:DA12"/>
    <mergeCell ref="A13:E13"/>
    <mergeCell ref="F13:AM13"/>
    <mergeCell ref="AN13:BI13"/>
    <mergeCell ref="BJ13:CE13"/>
    <mergeCell ref="CF13:DA13"/>
    <mergeCell ref="BQ2:DA2"/>
    <mergeCell ref="BQ4:DA4"/>
    <mergeCell ref="A7:DA7"/>
    <mergeCell ref="A9:DA9"/>
    <mergeCell ref="A11:AM11"/>
    <mergeCell ref="AN11:BI11"/>
    <mergeCell ref="BJ11:CE11"/>
    <mergeCell ref="CF11:DA11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1"/>
  <sheetViews>
    <sheetView view="pageBreakPreview" zoomScaleNormal="100" zoomScaleSheetLayoutView="100" workbookViewId="0">
      <selection activeCell="DO39" sqref="DO39"/>
    </sheetView>
  </sheetViews>
  <sheetFormatPr defaultColWidth="0.88671875" defaultRowHeight="15.6"/>
  <cols>
    <col min="1" max="69" width="0.88671875" style="6"/>
    <col min="70" max="70" width="0.88671875" style="6" customWidth="1"/>
    <col min="71" max="73" width="0.88671875" style="6"/>
    <col min="74" max="74" width="0.88671875" style="6" customWidth="1"/>
    <col min="75" max="86" width="0.88671875" style="6"/>
    <col min="87" max="88" width="0.88671875" style="6" customWidth="1"/>
    <col min="89" max="89" width="3" style="6" customWidth="1"/>
    <col min="90" max="103" width="0.88671875" style="6"/>
    <col min="104" max="104" width="0.88671875" style="6" customWidth="1"/>
    <col min="105" max="187" width="0.88671875" style="6"/>
    <col min="188" max="188" width="0.88671875" style="6" customWidth="1"/>
    <col min="189" max="191" width="0.88671875" style="6"/>
    <col min="192" max="192" width="0.88671875" style="6" customWidth="1"/>
    <col min="193" max="204" width="0.88671875" style="6"/>
    <col min="205" max="206" width="0.88671875" style="6" customWidth="1"/>
    <col min="207" max="207" width="1.44140625" style="6" customWidth="1"/>
    <col min="208" max="221" width="0.88671875" style="6"/>
    <col min="222" max="222" width="0.88671875" style="6" customWidth="1"/>
    <col min="223" max="443" width="0.88671875" style="6"/>
    <col min="444" max="444" width="0.88671875" style="6" customWidth="1"/>
    <col min="445" max="447" width="0.88671875" style="6"/>
    <col min="448" max="448" width="0.88671875" style="6" customWidth="1"/>
    <col min="449" max="460" width="0.88671875" style="6"/>
    <col min="461" max="462" width="0.88671875" style="6" customWidth="1"/>
    <col min="463" max="463" width="1.44140625" style="6" customWidth="1"/>
    <col min="464" max="477" width="0.88671875" style="6"/>
    <col min="478" max="478" width="0.88671875" style="6" customWidth="1"/>
    <col min="479" max="699" width="0.88671875" style="6"/>
    <col min="700" max="700" width="0.88671875" style="6" customWidth="1"/>
    <col min="701" max="703" width="0.88671875" style="6"/>
    <col min="704" max="704" width="0.88671875" style="6" customWidth="1"/>
    <col min="705" max="716" width="0.88671875" style="6"/>
    <col min="717" max="718" width="0.88671875" style="6" customWidth="1"/>
    <col min="719" max="719" width="1.44140625" style="6" customWidth="1"/>
    <col min="720" max="733" width="0.88671875" style="6"/>
    <col min="734" max="734" width="0.88671875" style="6" customWidth="1"/>
    <col min="735" max="955" width="0.88671875" style="6"/>
    <col min="956" max="956" width="0.88671875" style="6" customWidth="1"/>
    <col min="957" max="959" width="0.88671875" style="6"/>
    <col min="960" max="960" width="0.88671875" style="6" customWidth="1"/>
    <col min="961" max="972" width="0.88671875" style="6"/>
    <col min="973" max="974" width="0.88671875" style="6" customWidth="1"/>
    <col min="975" max="975" width="1.44140625" style="6" customWidth="1"/>
    <col min="976" max="989" width="0.88671875" style="6"/>
    <col min="990" max="990" width="0.88671875" style="6" customWidth="1"/>
    <col min="991" max="1211" width="0.88671875" style="6"/>
    <col min="1212" max="1212" width="0.88671875" style="6" customWidth="1"/>
    <col min="1213" max="1215" width="0.88671875" style="6"/>
    <col min="1216" max="1216" width="0.88671875" style="6" customWidth="1"/>
    <col min="1217" max="1228" width="0.88671875" style="6"/>
    <col min="1229" max="1230" width="0.88671875" style="6" customWidth="1"/>
    <col min="1231" max="1231" width="1.44140625" style="6" customWidth="1"/>
    <col min="1232" max="1245" width="0.88671875" style="6"/>
    <col min="1246" max="1246" width="0.88671875" style="6" customWidth="1"/>
    <col min="1247" max="1467" width="0.88671875" style="6"/>
    <col min="1468" max="1468" width="0.88671875" style="6" customWidth="1"/>
    <col min="1469" max="1471" width="0.88671875" style="6"/>
    <col min="1472" max="1472" width="0.88671875" style="6" customWidth="1"/>
    <col min="1473" max="1484" width="0.88671875" style="6"/>
    <col min="1485" max="1486" width="0.88671875" style="6" customWidth="1"/>
    <col min="1487" max="1487" width="1.44140625" style="6" customWidth="1"/>
    <col min="1488" max="1501" width="0.88671875" style="6"/>
    <col min="1502" max="1502" width="0.88671875" style="6" customWidth="1"/>
    <col min="1503" max="1723" width="0.88671875" style="6"/>
    <col min="1724" max="1724" width="0.88671875" style="6" customWidth="1"/>
    <col min="1725" max="1727" width="0.88671875" style="6"/>
    <col min="1728" max="1728" width="0.88671875" style="6" customWidth="1"/>
    <col min="1729" max="1740" width="0.88671875" style="6"/>
    <col min="1741" max="1742" width="0.88671875" style="6" customWidth="1"/>
    <col min="1743" max="1743" width="1.44140625" style="6" customWidth="1"/>
    <col min="1744" max="1757" width="0.88671875" style="6"/>
    <col min="1758" max="1758" width="0.88671875" style="6" customWidth="1"/>
    <col min="1759" max="1979" width="0.88671875" style="6"/>
    <col min="1980" max="1980" width="0.88671875" style="6" customWidth="1"/>
    <col min="1981" max="1983" width="0.88671875" style="6"/>
    <col min="1984" max="1984" width="0.88671875" style="6" customWidth="1"/>
    <col min="1985" max="1996" width="0.88671875" style="6"/>
    <col min="1997" max="1998" width="0.88671875" style="6" customWidth="1"/>
    <col min="1999" max="1999" width="1.44140625" style="6" customWidth="1"/>
    <col min="2000" max="2013" width="0.88671875" style="6"/>
    <col min="2014" max="2014" width="0.88671875" style="6" customWidth="1"/>
    <col min="2015" max="2235" width="0.88671875" style="6"/>
    <col min="2236" max="2236" width="0.88671875" style="6" customWidth="1"/>
    <col min="2237" max="2239" width="0.88671875" style="6"/>
    <col min="2240" max="2240" width="0.88671875" style="6" customWidth="1"/>
    <col min="2241" max="2252" width="0.88671875" style="6"/>
    <col min="2253" max="2254" width="0.88671875" style="6" customWidth="1"/>
    <col min="2255" max="2255" width="1.44140625" style="6" customWidth="1"/>
    <col min="2256" max="2269" width="0.88671875" style="6"/>
    <col min="2270" max="2270" width="0.88671875" style="6" customWidth="1"/>
    <col min="2271" max="2491" width="0.88671875" style="6"/>
    <col min="2492" max="2492" width="0.88671875" style="6" customWidth="1"/>
    <col min="2493" max="2495" width="0.88671875" style="6"/>
    <col min="2496" max="2496" width="0.88671875" style="6" customWidth="1"/>
    <col min="2497" max="2508" width="0.88671875" style="6"/>
    <col min="2509" max="2510" width="0.88671875" style="6" customWidth="1"/>
    <col min="2511" max="2511" width="1.44140625" style="6" customWidth="1"/>
    <col min="2512" max="2525" width="0.88671875" style="6"/>
    <col min="2526" max="2526" width="0.88671875" style="6" customWidth="1"/>
    <col min="2527" max="2747" width="0.88671875" style="6"/>
    <col min="2748" max="2748" width="0.88671875" style="6" customWidth="1"/>
    <col min="2749" max="2751" width="0.88671875" style="6"/>
    <col min="2752" max="2752" width="0.88671875" style="6" customWidth="1"/>
    <col min="2753" max="2764" width="0.88671875" style="6"/>
    <col min="2765" max="2766" width="0.88671875" style="6" customWidth="1"/>
    <col min="2767" max="2767" width="1.44140625" style="6" customWidth="1"/>
    <col min="2768" max="2781" width="0.88671875" style="6"/>
    <col min="2782" max="2782" width="0.88671875" style="6" customWidth="1"/>
    <col min="2783" max="3003" width="0.88671875" style="6"/>
    <col min="3004" max="3004" width="0.88671875" style="6" customWidth="1"/>
    <col min="3005" max="3007" width="0.88671875" style="6"/>
    <col min="3008" max="3008" width="0.88671875" style="6" customWidth="1"/>
    <col min="3009" max="3020" width="0.88671875" style="6"/>
    <col min="3021" max="3022" width="0.88671875" style="6" customWidth="1"/>
    <col min="3023" max="3023" width="1.44140625" style="6" customWidth="1"/>
    <col min="3024" max="3037" width="0.88671875" style="6"/>
    <col min="3038" max="3038" width="0.88671875" style="6" customWidth="1"/>
    <col min="3039" max="3259" width="0.88671875" style="6"/>
    <col min="3260" max="3260" width="0.88671875" style="6" customWidth="1"/>
    <col min="3261" max="3263" width="0.88671875" style="6"/>
    <col min="3264" max="3264" width="0.88671875" style="6" customWidth="1"/>
    <col min="3265" max="3276" width="0.88671875" style="6"/>
    <col min="3277" max="3278" width="0.88671875" style="6" customWidth="1"/>
    <col min="3279" max="3279" width="1.44140625" style="6" customWidth="1"/>
    <col min="3280" max="3293" width="0.88671875" style="6"/>
    <col min="3294" max="3294" width="0.88671875" style="6" customWidth="1"/>
    <col min="3295" max="3515" width="0.88671875" style="6"/>
    <col min="3516" max="3516" width="0.88671875" style="6" customWidth="1"/>
    <col min="3517" max="3519" width="0.88671875" style="6"/>
    <col min="3520" max="3520" width="0.88671875" style="6" customWidth="1"/>
    <col min="3521" max="3532" width="0.88671875" style="6"/>
    <col min="3533" max="3534" width="0.88671875" style="6" customWidth="1"/>
    <col min="3535" max="3535" width="1.44140625" style="6" customWidth="1"/>
    <col min="3536" max="3549" width="0.88671875" style="6"/>
    <col min="3550" max="3550" width="0.88671875" style="6" customWidth="1"/>
    <col min="3551" max="3771" width="0.88671875" style="6"/>
    <col min="3772" max="3772" width="0.88671875" style="6" customWidth="1"/>
    <col min="3773" max="3775" width="0.88671875" style="6"/>
    <col min="3776" max="3776" width="0.88671875" style="6" customWidth="1"/>
    <col min="3777" max="3788" width="0.88671875" style="6"/>
    <col min="3789" max="3790" width="0.88671875" style="6" customWidth="1"/>
    <col min="3791" max="3791" width="1.44140625" style="6" customWidth="1"/>
    <col min="3792" max="3805" width="0.88671875" style="6"/>
    <col min="3806" max="3806" width="0.88671875" style="6" customWidth="1"/>
    <col min="3807" max="4027" width="0.88671875" style="6"/>
    <col min="4028" max="4028" width="0.88671875" style="6" customWidth="1"/>
    <col min="4029" max="4031" width="0.88671875" style="6"/>
    <col min="4032" max="4032" width="0.88671875" style="6" customWidth="1"/>
    <col min="4033" max="4044" width="0.88671875" style="6"/>
    <col min="4045" max="4046" width="0.88671875" style="6" customWidth="1"/>
    <col min="4047" max="4047" width="1.44140625" style="6" customWidth="1"/>
    <col min="4048" max="4061" width="0.88671875" style="6"/>
    <col min="4062" max="4062" width="0.88671875" style="6" customWidth="1"/>
    <col min="4063" max="4283" width="0.88671875" style="6"/>
    <col min="4284" max="4284" width="0.88671875" style="6" customWidth="1"/>
    <col min="4285" max="4287" width="0.88671875" style="6"/>
    <col min="4288" max="4288" width="0.88671875" style="6" customWidth="1"/>
    <col min="4289" max="4300" width="0.88671875" style="6"/>
    <col min="4301" max="4302" width="0.88671875" style="6" customWidth="1"/>
    <col min="4303" max="4303" width="1.44140625" style="6" customWidth="1"/>
    <col min="4304" max="4317" width="0.88671875" style="6"/>
    <col min="4318" max="4318" width="0.88671875" style="6" customWidth="1"/>
    <col min="4319" max="4539" width="0.88671875" style="6"/>
    <col min="4540" max="4540" width="0.88671875" style="6" customWidth="1"/>
    <col min="4541" max="4543" width="0.88671875" style="6"/>
    <col min="4544" max="4544" width="0.88671875" style="6" customWidth="1"/>
    <col min="4545" max="4556" width="0.88671875" style="6"/>
    <col min="4557" max="4558" width="0.88671875" style="6" customWidth="1"/>
    <col min="4559" max="4559" width="1.44140625" style="6" customWidth="1"/>
    <col min="4560" max="4573" width="0.88671875" style="6"/>
    <col min="4574" max="4574" width="0.88671875" style="6" customWidth="1"/>
    <col min="4575" max="4795" width="0.88671875" style="6"/>
    <col min="4796" max="4796" width="0.88671875" style="6" customWidth="1"/>
    <col min="4797" max="4799" width="0.88671875" style="6"/>
    <col min="4800" max="4800" width="0.88671875" style="6" customWidth="1"/>
    <col min="4801" max="4812" width="0.88671875" style="6"/>
    <col min="4813" max="4814" width="0.88671875" style="6" customWidth="1"/>
    <col min="4815" max="4815" width="1.44140625" style="6" customWidth="1"/>
    <col min="4816" max="4829" width="0.88671875" style="6"/>
    <col min="4830" max="4830" width="0.88671875" style="6" customWidth="1"/>
    <col min="4831" max="5051" width="0.88671875" style="6"/>
    <col min="5052" max="5052" width="0.88671875" style="6" customWidth="1"/>
    <col min="5053" max="5055" width="0.88671875" style="6"/>
    <col min="5056" max="5056" width="0.88671875" style="6" customWidth="1"/>
    <col min="5057" max="5068" width="0.88671875" style="6"/>
    <col min="5069" max="5070" width="0.88671875" style="6" customWidth="1"/>
    <col min="5071" max="5071" width="1.44140625" style="6" customWidth="1"/>
    <col min="5072" max="5085" width="0.88671875" style="6"/>
    <col min="5086" max="5086" width="0.88671875" style="6" customWidth="1"/>
    <col min="5087" max="5307" width="0.88671875" style="6"/>
    <col min="5308" max="5308" width="0.88671875" style="6" customWidth="1"/>
    <col min="5309" max="5311" width="0.88671875" style="6"/>
    <col min="5312" max="5312" width="0.88671875" style="6" customWidth="1"/>
    <col min="5313" max="5324" width="0.88671875" style="6"/>
    <col min="5325" max="5326" width="0.88671875" style="6" customWidth="1"/>
    <col min="5327" max="5327" width="1.44140625" style="6" customWidth="1"/>
    <col min="5328" max="5341" width="0.88671875" style="6"/>
    <col min="5342" max="5342" width="0.88671875" style="6" customWidth="1"/>
    <col min="5343" max="5563" width="0.88671875" style="6"/>
    <col min="5564" max="5564" width="0.88671875" style="6" customWidth="1"/>
    <col min="5565" max="5567" width="0.88671875" style="6"/>
    <col min="5568" max="5568" width="0.88671875" style="6" customWidth="1"/>
    <col min="5569" max="5580" width="0.88671875" style="6"/>
    <col min="5581" max="5582" width="0.88671875" style="6" customWidth="1"/>
    <col min="5583" max="5583" width="1.44140625" style="6" customWidth="1"/>
    <col min="5584" max="5597" width="0.88671875" style="6"/>
    <col min="5598" max="5598" width="0.88671875" style="6" customWidth="1"/>
    <col min="5599" max="5819" width="0.88671875" style="6"/>
    <col min="5820" max="5820" width="0.88671875" style="6" customWidth="1"/>
    <col min="5821" max="5823" width="0.88671875" style="6"/>
    <col min="5824" max="5824" width="0.88671875" style="6" customWidth="1"/>
    <col min="5825" max="5836" width="0.88671875" style="6"/>
    <col min="5837" max="5838" width="0.88671875" style="6" customWidth="1"/>
    <col min="5839" max="5839" width="1.44140625" style="6" customWidth="1"/>
    <col min="5840" max="5853" width="0.88671875" style="6"/>
    <col min="5854" max="5854" width="0.88671875" style="6" customWidth="1"/>
    <col min="5855" max="6075" width="0.88671875" style="6"/>
    <col min="6076" max="6076" width="0.88671875" style="6" customWidth="1"/>
    <col min="6077" max="6079" width="0.88671875" style="6"/>
    <col min="6080" max="6080" width="0.88671875" style="6" customWidth="1"/>
    <col min="6081" max="6092" width="0.88671875" style="6"/>
    <col min="6093" max="6094" width="0.88671875" style="6" customWidth="1"/>
    <col min="6095" max="6095" width="1.44140625" style="6" customWidth="1"/>
    <col min="6096" max="6109" width="0.88671875" style="6"/>
    <col min="6110" max="6110" width="0.88671875" style="6" customWidth="1"/>
    <col min="6111" max="6331" width="0.88671875" style="6"/>
    <col min="6332" max="6332" width="0.88671875" style="6" customWidth="1"/>
    <col min="6333" max="6335" width="0.88671875" style="6"/>
    <col min="6336" max="6336" width="0.88671875" style="6" customWidth="1"/>
    <col min="6337" max="6348" width="0.88671875" style="6"/>
    <col min="6349" max="6350" width="0.88671875" style="6" customWidth="1"/>
    <col min="6351" max="6351" width="1.44140625" style="6" customWidth="1"/>
    <col min="6352" max="6365" width="0.88671875" style="6"/>
    <col min="6366" max="6366" width="0.88671875" style="6" customWidth="1"/>
    <col min="6367" max="6587" width="0.88671875" style="6"/>
    <col min="6588" max="6588" width="0.88671875" style="6" customWidth="1"/>
    <col min="6589" max="6591" width="0.88671875" style="6"/>
    <col min="6592" max="6592" width="0.88671875" style="6" customWidth="1"/>
    <col min="6593" max="6604" width="0.88671875" style="6"/>
    <col min="6605" max="6606" width="0.88671875" style="6" customWidth="1"/>
    <col min="6607" max="6607" width="1.44140625" style="6" customWidth="1"/>
    <col min="6608" max="6621" width="0.88671875" style="6"/>
    <col min="6622" max="6622" width="0.88671875" style="6" customWidth="1"/>
    <col min="6623" max="6843" width="0.88671875" style="6"/>
    <col min="6844" max="6844" width="0.88671875" style="6" customWidth="1"/>
    <col min="6845" max="6847" width="0.88671875" style="6"/>
    <col min="6848" max="6848" width="0.88671875" style="6" customWidth="1"/>
    <col min="6849" max="6860" width="0.88671875" style="6"/>
    <col min="6861" max="6862" width="0.88671875" style="6" customWidth="1"/>
    <col min="6863" max="6863" width="1.44140625" style="6" customWidth="1"/>
    <col min="6864" max="6877" width="0.88671875" style="6"/>
    <col min="6878" max="6878" width="0.88671875" style="6" customWidth="1"/>
    <col min="6879" max="7099" width="0.88671875" style="6"/>
    <col min="7100" max="7100" width="0.88671875" style="6" customWidth="1"/>
    <col min="7101" max="7103" width="0.88671875" style="6"/>
    <col min="7104" max="7104" width="0.88671875" style="6" customWidth="1"/>
    <col min="7105" max="7116" width="0.88671875" style="6"/>
    <col min="7117" max="7118" width="0.88671875" style="6" customWidth="1"/>
    <col min="7119" max="7119" width="1.44140625" style="6" customWidth="1"/>
    <col min="7120" max="7133" width="0.88671875" style="6"/>
    <col min="7134" max="7134" width="0.88671875" style="6" customWidth="1"/>
    <col min="7135" max="7355" width="0.88671875" style="6"/>
    <col min="7356" max="7356" width="0.88671875" style="6" customWidth="1"/>
    <col min="7357" max="7359" width="0.88671875" style="6"/>
    <col min="7360" max="7360" width="0.88671875" style="6" customWidth="1"/>
    <col min="7361" max="7372" width="0.88671875" style="6"/>
    <col min="7373" max="7374" width="0.88671875" style="6" customWidth="1"/>
    <col min="7375" max="7375" width="1.44140625" style="6" customWidth="1"/>
    <col min="7376" max="7389" width="0.88671875" style="6"/>
    <col min="7390" max="7390" width="0.88671875" style="6" customWidth="1"/>
    <col min="7391" max="7611" width="0.88671875" style="6"/>
    <col min="7612" max="7612" width="0.88671875" style="6" customWidth="1"/>
    <col min="7613" max="7615" width="0.88671875" style="6"/>
    <col min="7616" max="7616" width="0.88671875" style="6" customWidth="1"/>
    <col min="7617" max="7628" width="0.88671875" style="6"/>
    <col min="7629" max="7630" width="0.88671875" style="6" customWidth="1"/>
    <col min="7631" max="7631" width="1.44140625" style="6" customWidth="1"/>
    <col min="7632" max="7645" width="0.88671875" style="6"/>
    <col min="7646" max="7646" width="0.88671875" style="6" customWidth="1"/>
    <col min="7647" max="7867" width="0.88671875" style="6"/>
    <col min="7868" max="7868" width="0.88671875" style="6" customWidth="1"/>
    <col min="7869" max="7871" width="0.88671875" style="6"/>
    <col min="7872" max="7872" width="0.88671875" style="6" customWidth="1"/>
    <col min="7873" max="7884" width="0.88671875" style="6"/>
    <col min="7885" max="7886" width="0.88671875" style="6" customWidth="1"/>
    <col min="7887" max="7887" width="1.44140625" style="6" customWidth="1"/>
    <col min="7888" max="7901" width="0.88671875" style="6"/>
    <col min="7902" max="7902" width="0.88671875" style="6" customWidth="1"/>
    <col min="7903" max="8123" width="0.88671875" style="6"/>
    <col min="8124" max="8124" width="0.88671875" style="6" customWidth="1"/>
    <col min="8125" max="8127" width="0.88671875" style="6"/>
    <col min="8128" max="8128" width="0.88671875" style="6" customWidth="1"/>
    <col min="8129" max="8140" width="0.88671875" style="6"/>
    <col min="8141" max="8142" width="0.88671875" style="6" customWidth="1"/>
    <col min="8143" max="8143" width="1.44140625" style="6" customWidth="1"/>
    <col min="8144" max="8157" width="0.88671875" style="6"/>
    <col min="8158" max="8158" width="0.88671875" style="6" customWidth="1"/>
    <col min="8159" max="8379" width="0.88671875" style="6"/>
    <col min="8380" max="8380" width="0.88671875" style="6" customWidth="1"/>
    <col min="8381" max="8383" width="0.88671875" style="6"/>
    <col min="8384" max="8384" width="0.88671875" style="6" customWidth="1"/>
    <col min="8385" max="8396" width="0.88671875" style="6"/>
    <col min="8397" max="8398" width="0.88671875" style="6" customWidth="1"/>
    <col min="8399" max="8399" width="1.44140625" style="6" customWidth="1"/>
    <col min="8400" max="8413" width="0.88671875" style="6"/>
    <col min="8414" max="8414" width="0.88671875" style="6" customWidth="1"/>
    <col min="8415" max="8635" width="0.88671875" style="6"/>
    <col min="8636" max="8636" width="0.88671875" style="6" customWidth="1"/>
    <col min="8637" max="8639" width="0.88671875" style="6"/>
    <col min="8640" max="8640" width="0.88671875" style="6" customWidth="1"/>
    <col min="8641" max="8652" width="0.88671875" style="6"/>
    <col min="8653" max="8654" width="0.88671875" style="6" customWidth="1"/>
    <col min="8655" max="8655" width="1.44140625" style="6" customWidth="1"/>
    <col min="8656" max="8669" width="0.88671875" style="6"/>
    <col min="8670" max="8670" width="0.88671875" style="6" customWidth="1"/>
    <col min="8671" max="8891" width="0.88671875" style="6"/>
    <col min="8892" max="8892" width="0.88671875" style="6" customWidth="1"/>
    <col min="8893" max="8895" width="0.88671875" style="6"/>
    <col min="8896" max="8896" width="0.88671875" style="6" customWidth="1"/>
    <col min="8897" max="8908" width="0.88671875" style="6"/>
    <col min="8909" max="8910" width="0.88671875" style="6" customWidth="1"/>
    <col min="8911" max="8911" width="1.44140625" style="6" customWidth="1"/>
    <col min="8912" max="8925" width="0.88671875" style="6"/>
    <col min="8926" max="8926" width="0.88671875" style="6" customWidth="1"/>
    <col min="8927" max="9147" width="0.88671875" style="6"/>
    <col min="9148" max="9148" width="0.88671875" style="6" customWidth="1"/>
    <col min="9149" max="9151" width="0.88671875" style="6"/>
    <col min="9152" max="9152" width="0.88671875" style="6" customWidth="1"/>
    <col min="9153" max="9164" width="0.88671875" style="6"/>
    <col min="9165" max="9166" width="0.88671875" style="6" customWidth="1"/>
    <col min="9167" max="9167" width="1.44140625" style="6" customWidth="1"/>
    <col min="9168" max="9181" width="0.88671875" style="6"/>
    <col min="9182" max="9182" width="0.88671875" style="6" customWidth="1"/>
    <col min="9183" max="9403" width="0.88671875" style="6"/>
    <col min="9404" max="9404" width="0.88671875" style="6" customWidth="1"/>
    <col min="9405" max="9407" width="0.88671875" style="6"/>
    <col min="9408" max="9408" width="0.88671875" style="6" customWidth="1"/>
    <col min="9409" max="9420" width="0.88671875" style="6"/>
    <col min="9421" max="9422" width="0.88671875" style="6" customWidth="1"/>
    <col min="9423" max="9423" width="1.44140625" style="6" customWidth="1"/>
    <col min="9424" max="9437" width="0.88671875" style="6"/>
    <col min="9438" max="9438" width="0.88671875" style="6" customWidth="1"/>
    <col min="9439" max="9659" width="0.88671875" style="6"/>
    <col min="9660" max="9660" width="0.88671875" style="6" customWidth="1"/>
    <col min="9661" max="9663" width="0.88671875" style="6"/>
    <col min="9664" max="9664" width="0.88671875" style="6" customWidth="1"/>
    <col min="9665" max="9676" width="0.88671875" style="6"/>
    <col min="9677" max="9678" width="0.88671875" style="6" customWidth="1"/>
    <col min="9679" max="9679" width="1.44140625" style="6" customWidth="1"/>
    <col min="9680" max="9693" width="0.88671875" style="6"/>
    <col min="9694" max="9694" width="0.88671875" style="6" customWidth="1"/>
    <col min="9695" max="9915" width="0.88671875" style="6"/>
    <col min="9916" max="9916" width="0.88671875" style="6" customWidth="1"/>
    <col min="9917" max="9919" width="0.88671875" style="6"/>
    <col min="9920" max="9920" width="0.88671875" style="6" customWidth="1"/>
    <col min="9921" max="9932" width="0.88671875" style="6"/>
    <col min="9933" max="9934" width="0.88671875" style="6" customWidth="1"/>
    <col min="9935" max="9935" width="1.44140625" style="6" customWidth="1"/>
    <col min="9936" max="9949" width="0.88671875" style="6"/>
    <col min="9950" max="9950" width="0.88671875" style="6" customWidth="1"/>
    <col min="9951" max="10171" width="0.88671875" style="6"/>
    <col min="10172" max="10172" width="0.88671875" style="6" customWidth="1"/>
    <col min="10173" max="10175" width="0.88671875" style="6"/>
    <col min="10176" max="10176" width="0.88671875" style="6" customWidth="1"/>
    <col min="10177" max="10188" width="0.88671875" style="6"/>
    <col min="10189" max="10190" width="0.88671875" style="6" customWidth="1"/>
    <col min="10191" max="10191" width="1.44140625" style="6" customWidth="1"/>
    <col min="10192" max="10205" width="0.88671875" style="6"/>
    <col min="10206" max="10206" width="0.88671875" style="6" customWidth="1"/>
    <col min="10207" max="10427" width="0.88671875" style="6"/>
    <col min="10428" max="10428" width="0.88671875" style="6" customWidth="1"/>
    <col min="10429" max="10431" width="0.88671875" style="6"/>
    <col min="10432" max="10432" width="0.88671875" style="6" customWidth="1"/>
    <col min="10433" max="10444" width="0.88671875" style="6"/>
    <col min="10445" max="10446" width="0.88671875" style="6" customWidth="1"/>
    <col min="10447" max="10447" width="1.44140625" style="6" customWidth="1"/>
    <col min="10448" max="10461" width="0.88671875" style="6"/>
    <col min="10462" max="10462" width="0.88671875" style="6" customWidth="1"/>
    <col min="10463" max="10683" width="0.88671875" style="6"/>
    <col min="10684" max="10684" width="0.88671875" style="6" customWidth="1"/>
    <col min="10685" max="10687" width="0.88671875" style="6"/>
    <col min="10688" max="10688" width="0.88671875" style="6" customWidth="1"/>
    <col min="10689" max="10700" width="0.88671875" style="6"/>
    <col min="10701" max="10702" width="0.88671875" style="6" customWidth="1"/>
    <col min="10703" max="10703" width="1.44140625" style="6" customWidth="1"/>
    <col min="10704" max="10717" width="0.88671875" style="6"/>
    <col min="10718" max="10718" width="0.88671875" style="6" customWidth="1"/>
    <col min="10719" max="10939" width="0.88671875" style="6"/>
    <col min="10940" max="10940" width="0.88671875" style="6" customWidth="1"/>
    <col min="10941" max="10943" width="0.88671875" style="6"/>
    <col min="10944" max="10944" width="0.88671875" style="6" customWidth="1"/>
    <col min="10945" max="10956" width="0.88671875" style="6"/>
    <col min="10957" max="10958" width="0.88671875" style="6" customWidth="1"/>
    <col min="10959" max="10959" width="1.44140625" style="6" customWidth="1"/>
    <col min="10960" max="10973" width="0.88671875" style="6"/>
    <col min="10974" max="10974" width="0.88671875" style="6" customWidth="1"/>
    <col min="10975" max="11195" width="0.88671875" style="6"/>
    <col min="11196" max="11196" width="0.88671875" style="6" customWidth="1"/>
    <col min="11197" max="11199" width="0.88671875" style="6"/>
    <col min="11200" max="11200" width="0.88671875" style="6" customWidth="1"/>
    <col min="11201" max="11212" width="0.88671875" style="6"/>
    <col min="11213" max="11214" width="0.88671875" style="6" customWidth="1"/>
    <col min="11215" max="11215" width="1.44140625" style="6" customWidth="1"/>
    <col min="11216" max="11229" width="0.88671875" style="6"/>
    <col min="11230" max="11230" width="0.88671875" style="6" customWidth="1"/>
    <col min="11231" max="11451" width="0.88671875" style="6"/>
    <col min="11452" max="11452" width="0.88671875" style="6" customWidth="1"/>
    <col min="11453" max="11455" width="0.88671875" style="6"/>
    <col min="11456" max="11456" width="0.88671875" style="6" customWidth="1"/>
    <col min="11457" max="11468" width="0.88671875" style="6"/>
    <col min="11469" max="11470" width="0.88671875" style="6" customWidth="1"/>
    <col min="11471" max="11471" width="1.44140625" style="6" customWidth="1"/>
    <col min="11472" max="11485" width="0.88671875" style="6"/>
    <col min="11486" max="11486" width="0.88671875" style="6" customWidth="1"/>
    <col min="11487" max="11707" width="0.88671875" style="6"/>
    <col min="11708" max="11708" width="0.88671875" style="6" customWidth="1"/>
    <col min="11709" max="11711" width="0.88671875" style="6"/>
    <col min="11712" max="11712" width="0.88671875" style="6" customWidth="1"/>
    <col min="11713" max="11724" width="0.88671875" style="6"/>
    <col min="11725" max="11726" width="0.88671875" style="6" customWidth="1"/>
    <col min="11727" max="11727" width="1.44140625" style="6" customWidth="1"/>
    <col min="11728" max="11741" width="0.88671875" style="6"/>
    <col min="11742" max="11742" width="0.88671875" style="6" customWidth="1"/>
    <col min="11743" max="11963" width="0.88671875" style="6"/>
    <col min="11964" max="11964" width="0.88671875" style="6" customWidth="1"/>
    <col min="11965" max="11967" width="0.88671875" style="6"/>
    <col min="11968" max="11968" width="0.88671875" style="6" customWidth="1"/>
    <col min="11969" max="11980" width="0.88671875" style="6"/>
    <col min="11981" max="11982" width="0.88671875" style="6" customWidth="1"/>
    <col min="11983" max="11983" width="1.44140625" style="6" customWidth="1"/>
    <col min="11984" max="11997" width="0.88671875" style="6"/>
    <col min="11998" max="11998" width="0.88671875" style="6" customWidth="1"/>
    <col min="11999" max="12219" width="0.88671875" style="6"/>
    <col min="12220" max="12220" width="0.88671875" style="6" customWidth="1"/>
    <col min="12221" max="12223" width="0.88671875" style="6"/>
    <col min="12224" max="12224" width="0.88671875" style="6" customWidth="1"/>
    <col min="12225" max="12236" width="0.88671875" style="6"/>
    <col min="12237" max="12238" width="0.88671875" style="6" customWidth="1"/>
    <col min="12239" max="12239" width="1.44140625" style="6" customWidth="1"/>
    <col min="12240" max="12253" width="0.88671875" style="6"/>
    <col min="12254" max="12254" width="0.88671875" style="6" customWidth="1"/>
    <col min="12255" max="12475" width="0.88671875" style="6"/>
    <col min="12476" max="12476" width="0.88671875" style="6" customWidth="1"/>
    <col min="12477" max="12479" width="0.88671875" style="6"/>
    <col min="12480" max="12480" width="0.88671875" style="6" customWidth="1"/>
    <col min="12481" max="12492" width="0.88671875" style="6"/>
    <col min="12493" max="12494" width="0.88671875" style="6" customWidth="1"/>
    <col min="12495" max="12495" width="1.44140625" style="6" customWidth="1"/>
    <col min="12496" max="12509" width="0.88671875" style="6"/>
    <col min="12510" max="12510" width="0.88671875" style="6" customWidth="1"/>
    <col min="12511" max="12731" width="0.88671875" style="6"/>
    <col min="12732" max="12732" width="0.88671875" style="6" customWidth="1"/>
    <col min="12733" max="12735" width="0.88671875" style="6"/>
    <col min="12736" max="12736" width="0.88671875" style="6" customWidth="1"/>
    <col min="12737" max="12748" width="0.88671875" style="6"/>
    <col min="12749" max="12750" width="0.88671875" style="6" customWidth="1"/>
    <col min="12751" max="12751" width="1.44140625" style="6" customWidth="1"/>
    <col min="12752" max="12765" width="0.88671875" style="6"/>
    <col min="12766" max="12766" width="0.88671875" style="6" customWidth="1"/>
    <col min="12767" max="12987" width="0.88671875" style="6"/>
    <col min="12988" max="12988" width="0.88671875" style="6" customWidth="1"/>
    <col min="12989" max="12991" width="0.88671875" style="6"/>
    <col min="12992" max="12992" width="0.88671875" style="6" customWidth="1"/>
    <col min="12993" max="13004" width="0.88671875" style="6"/>
    <col min="13005" max="13006" width="0.88671875" style="6" customWidth="1"/>
    <col min="13007" max="13007" width="1.44140625" style="6" customWidth="1"/>
    <col min="13008" max="13021" width="0.88671875" style="6"/>
    <col min="13022" max="13022" width="0.88671875" style="6" customWidth="1"/>
    <col min="13023" max="13243" width="0.88671875" style="6"/>
    <col min="13244" max="13244" width="0.88671875" style="6" customWidth="1"/>
    <col min="13245" max="13247" width="0.88671875" style="6"/>
    <col min="13248" max="13248" width="0.88671875" style="6" customWidth="1"/>
    <col min="13249" max="13260" width="0.88671875" style="6"/>
    <col min="13261" max="13262" width="0.88671875" style="6" customWidth="1"/>
    <col min="13263" max="13263" width="1.44140625" style="6" customWidth="1"/>
    <col min="13264" max="13277" width="0.88671875" style="6"/>
    <col min="13278" max="13278" width="0.88671875" style="6" customWidth="1"/>
    <col min="13279" max="13499" width="0.88671875" style="6"/>
    <col min="13500" max="13500" width="0.88671875" style="6" customWidth="1"/>
    <col min="13501" max="13503" width="0.88671875" style="6"/>
    <col min="13504" max="13504" width="0.88671875" style="6" customWidth="1"/>
    <col min="13505" max="13516" width="0.88671875" style="6"/>
    <col min="13517" max="13518" width="0.88671875" style="6" customWidth="1"/>
    <col min="13519" max="13519" width="1.44140625" style="6" customWidth="1"/>
    <col min="13520" max="13533" width="0.88671875" style="6"/>
    <col min="13534" max="13534" width="0.88671875" style="6" customWidth="1"/>
    <col min="13535" max="13755" width="0.88671875" style="6"/>
    <col min="13756" max="13756" width="0.88671875" style="6" customWidth="1"/>
    <col min="13757" max="13759" width="0.88671875" style="6"/>
    <col min="13760" max="13760" width="0.88671875" style="6" customWidth="1"/>
    <col min="13761" max="13772" width="0.88671875" style="6"/>
    <col min="13773" max="13774" width="0.88671875" style="6" customWidth="1"/>
    <col min="13775" max="13775" width="1.44140625" style="6" customWidth="1"/>
    <col min="13776" max="13789" width="0.88671875" style="6"/>
    <col min="13790" max="13790" width="0.88671875" style="6" customWidth="1"/>
    <col min="13791" max="14011" width="0.88671875" style="6"/>
    <col min="14012" max="14012" width="0.88671875" style="6" customWidth="1"/>
    <col min="14013" max="14015" width="0.88671875" style="6"/>
    <col min="14016" max="14016" width="0.88671875" style="6" customWidth="1"/>
    <col min="14017" max="14028" width="0.88671875" style="6"/>
    <col min="14029" max="14030" width="0.88671875" style="6" customWidth="1"/>
    <col min="14031" max="14031" width="1.44140625" style="6" customWidth="1"/>
    <col min="14032" max="14045" width="0.88671875" style="6"/>
    <col min="14046" max="14046" width="0.88671875" style="6" customWidth="1"/>
    <col min="14047" max="14267" width="0.88671875" style="6"/>
    <col min="14268" max="14268" width="0.88671875" style="6" customWidth="1"/>
    <col min="14269" max="14271" width="0.88671875" style="6"/>
    <col min="14272" max="14272" width="0.88671875" style="6" customWidth="1"/>
    <col min="14273" max="14284" width="0.88671875" style="6"/>
    <col min="14285" max="14286" width="0.88671875" style="6" customWidth="1"/>
    <col min="14287" max="14287" width="1.44140625" style="6" customWidth="1"/>
    <col min="14288" max="14301" width="0.88671875" style="6"/>
    <col min="14302" max="14302" width="0.88671875" style="6" customWidth="1"/>
    <col min="14303" max="14523" width="0.88671875" style="6"/>
    <col min="14524" max="14524" width="0.88671875" style="6" customWidth="1"/>
    <col min="14525" max="14527" width="0.88671875" style="6"/>
    <col min="14528" max="14528" width="0.88671875" style="6" customWidth="1"/>
    <col min="14529" max="14540" width="0.88671875" style="6"/>
    <col min="14541" max="14542" width="0.88671875" style="6" customWidth="1"/>
    <col min="14543" max="14543" width="1.44140625" style="6" customWidth="1"/>
    <col min="14544" max="14557" width="0.88671875" style="6"/>
    <col min="14558" max="14558" width="0.88671875" style="6" customWidth="1"/>
    <col min="14559" max="14779" width="0.88671875" style="6"/>
    <col min="14780" max="14780" width="0.88671875" style="6" customWidth="1"/>
    <col min="14781" max="14783" width="0.88671875" style="6"/>
    <col min="14784" max="14784" width="0.88671875" style="6" customWidth="1"/>
    <col min="14785" max="14796" width="0.88671875" style="6"/>
    <col min="14797" max="14798" width="0.88671875" style="6" customWidth="1"/>
    <col min="14799" max="14799" width="1.44140625" style="6" customWidth="1"/>
    <col min="14800" max="14813" width="0.88671875" style="6"/>
    <col min="14814" max="14814" width="0.88671875" style="6" customWidth="1"/>
    <col min="14815" max="15035" width="0.88671875" style="6"/>
    <col min="15036" max="15036" width="0.88671875" style="6" customWidth="1"/>
    <col min="15037" max="15039" width="0.88671875" style="6"/>
    <col min="15040" max="15040" width="0.88671875" style="6" customWidth="1"/>
    <col min="15041" max="15052" width="0.88671875" style="6"/>
    <col min="15053" max="15054" width="0.88671875" style="6" customWidth="1"/>
    <col min="15055" max="15055" width="1.44140625" style="6" customWidth="1"/>
    <col min="15056" max="15069" width="0.88671875" style="6"/>
    <col min="15070" max="15070" width="0.88671875" style="6" customWidth="1"/>
    <col min="15071" max="15291" width="0.88671875" style="6"/>
    <col min="15292" max="15292" width="0.88671875" style="6" customWidth="1"/>
    <col min="15293" max="15295" width="0.88671875" style="6"/>
    <col min="15296" max="15296" width="0.88671875" style="6" customWidth="1"/>
    <col min="15297" max="15308" width="0.88671875" style="6"/>
    <col min="15309" max="15310" width="0.88671875" style="6" customWidth="1"/>
    <col min="15311" max="15311" width="1.44140625" style="6" customWidth="1"/>
    <col min="15312" max="15325" width="0.88671875" style="6"/>
    <col min="15326" max="15326" width="0.88671875" style="6" customWidth="1"/>
    <col min="15327" max="15547" width="0.88671875" style="6"/>
    <col min="15548" max="15548" width="0.88671875" style="6" customWidth="1"/>
    <col min="15549" max="15551" width="0.88671875" style="6"/>
    <col min="15552" max="15552" width="0.88671875" style="6" customWidth="1"/>
    <col min="15553" max="15564" width="0.88671875" style="6"/>
    <col min="15565" max="15566" width="0.88671875" style="6" customWidth="1"/>
    <col min="15567" max="15567" width="1.44140625" style="6" customWidth="1"/>
    <col min="15568" max="15581" width="0.88671875" style="6"/>
    <col min="15582" max="15582" width="0.88671875" style="6" customWidth="1"/>
    <col min="15583" max="15803" width="0.88671875" style="6"/>
    <col min="15804" max="15804" width="0.88671875" style="6" customWidth="1"/>
    <col min="15805" max="15807" width="0.88671875" style="6"/>
    <col min="15808" max="15808" width="0.88671875" style="6" customWidth="1"/>
    <col min="15809" max="15820" width="0.88671875" style="6"/>
    <col min="15821" max="15822" width="0.88671875" style="6" customWidth="1"/>
    <col min="15823" max="15823" width="1.44140625" style="6" customWidth="1"/>
    <col min="15824" max="15837" width="0.88671875" style="6"/>
    <col min="15838" max="15838" width="0.88671875" style="6" customWidth="1"/>
    <col min="15839" max="16059" width="0.88671875" style="6"/>
    <col min="16060" max="16060" width="0.88671875" style="6" customWidth="1"/>
    <col min="16061" max="16063" width="0.88671875" style="6"/>
    <col min="16064" max="16064" width="0.88671875" style="6" customWidth="1"/>
    <col min="16065" max="16076" width="0.88671875" style="6"/>
    <col min="16077" max="16078" width="0.88671875" style="6" customWidth="1"/>
    <col min="16079" max="16079" width="1.44140625" style="6" customWidth="1"/>
    <col min="16080" max="16093" width="0.88671875" style="6"/>
    <col min="16094" max="16094" width="0.88671875" style="6" customWidth="1"/>
    <col min="16095" max="16384" width="0.88671875" style="6"/>
  </cols>
  <sheetData>
    <row r="1" spans="1:105" s="5" customFormat="1" ht="13.2">
      <c r="BQ1" s="5" t="s">
        <v>26</v>
      </c>
    </row>
    <row r="2" spans="1:105" s="5" customFormat="1" ht="39.75" customHeight="1">
      <c r="BQ2" s="163" t="s">
        <v>5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</row>
    <row r="3" spans="1:105" ht="3" customHeight="1"/>
    <row r="4" spans="1:105" s="7" customFormat="1" ht="24" customHeight="1">
      <c r="BQ4" s="164" t="s">
        <v>6</v>
      </c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</row>
    <row r="7" spans="1:105" s="8" customFormat="1" ht="16.8">
      <c r="A7" s="165" t="s">
        <v>7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</row>
    <row r="8" spans="1:105" s="8" customFormat="1" ht="6" customHeight="1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</row>
    <row r="9" spans="1:105" s="8" customFormat="1" ht="32.25" customHeight="1">
      <c r="A9" s="166" t="s">
        <v>2108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</row>
    <row r="11" spans="1:105" s="5" customFormat="1" ht="39.75" customHeight="1">
      <c r="A11" s="190" t="s">
        <v>27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1"/>
      <c r="AH11" s="169" t="s">
        <v>28</v>
      </c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69" t="s">
        <v>29</v>
      </c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1"/>
      <c r="CD11" s="169" t="s">
        <v>30</v>
      </c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1"/>
    </row>
    <row r="12" spans="1:105" s="5" customFormat="1" ht="30" customHeight="1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3"/>
      <c r="AH12" s="169" t="s">
        <v>22</v>
      </c>
      <c r="AI12" s="170"/>
      <c r="AJ12" s="170"/>
      <c r="AK12" s="170"/>
      <c r="AL12" s="170"/>
      <c r="AM12" s="170"/>
      <c r="AN12" s="170"/>
      <c r="AO12" s="171"/>
      <c r="AP12" s="169" t="s">
        <v>31</v>
      </c>
      <c r="AQ12" s="170"/>
      <c r="AR12" s="170"/>
      <c r="AS12" s="170"/>
      <c r="AT12" s="170"/>
      <c r="AU12" s="170"/>
      <c r="AV12" s="170"/>
      <c r="AW12" s="171"/>
      <c r="AX12" s="169" t="s">
        <v>32</v>
      </c>
      <c r="AY12" s="170"/>
      <c r="AZ12" s="170"/>
      <c r="BA12" s="170"/>
      <c r="BB12" s="170"/>
      <c r="BC12" s="170"/>
      <c r="BD12" s="170"/>
      <c r="BE12" s="171"/>
      <c r="BF12" s="169" t="s">
        <v>22</v>
      </c>
      <c r="BG12" s="170"/>
      <c r="BH12" s="170"/>
      <c r="BI12" s="170"/>
      <c r="BJ12" s="170"/>
      <c r="BK12" s="170"/>
      <c r="BL12" s="170"/>
      <c r="BM12" s="171"/>
      <c r="BN12" s="169" t="s">
        <v>31</v>
      </c>
      <c r="BO12" s="170"/>
      <c r="BP12" s="170"/>
      <c r="BQ12" s="170"/>
      <c r="BR12" s="170"/>
      <c r="BS12" s="170"/>
      <c r="BT12" s="170"/>
      <c r="BU12" s="171"/>
      <c r="BV12" s="169" t="s">
        <v>32</v>
      </c>
      <c r="BW12" s="170"/>
      <c r="BX12" s="170"/>
      <c r="BY12" s="170"/>
      <c r="BZ12" s="170"/>
      <c r="CA12" s="170"/>
      <c r="CB12" s="170"/>
      <c r="CC12" s="171"/>
      <c r="CD12" s="169" t="s">
        <v>22</v>
      </c>
      <c r="CE12" s="170"/>
      <c r="CF12" s="170"/>
      <c r="CG12" s="170"/>
      <c r="CH12" s="170"/>
      <c r="CI12" s="170"/>
      <c r="CJ12" s="170"/>
      <c r="CK12" s="171"/>
      <c r="CL12" s="169" t="s">
        <v>31</v>
      </c>
      <c r="CM12" s="170"/>
      <c r="CN12" s="170"/>
      <c r="CO12" s="170"/>
      <c r="CP12" s="170"/>
      <c r="CQ12" s="170"/>
      <c r="CR12" s="170"/>
      <c r="CS12" s="171"/>
      <c r="CT12" s="169" t="s">
        <v>32</v>
      </c>
      <c r="CU12" s="170"/>
      <c r="CV12" s="170"/>
      <c r="CW12" s="170"/>
      <c r="CX12" s="170"/>
      <c r="CY12" s="170"/>
      <c r="CZ12" s="170"/>
      <c r="DA12" s="171"/>
    </row>
    <row r="13" spans="1:105" s="5" customFormat="1" ht="15" customHeight="1">
      <c r="A13" s="172" t="s">
        <v>11</v>
      </c>
      <c r="B13" s="172"/>
      <c r="C13" s="172"/>
      <c r="D13" s="172"/>
      <c r="E13" s="172"/>
      <c r="F13" s="173" t="s">
        <v>33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94"/>
      <c r="AH13" s="186">
        <v>244</v>
      </c>
      <c r="AI13" s="187"/>
      <c r="AJ13" s="187"/>
      <c r="AK13" s="187"/>
      <c r="AL13" s="187"/>
      <c r="AM13" s="187"/>
      <c r="AN13" s="187"/>
      <c r="AO13" s="188"/>
      <c r="AP13" s="183" t="s">
        <v>34</v>
      </c>
      <c r="AQ13" s="184"/>
      <c r="AR13" s="184"/>
      <c r="AS13" s="184"/>
      <c r="AT13" s="184"/>
      <c r="AU13" s="184"/>
      <c r="AV13" s="184"/>
      <c r="AW13" s="185"/>
      <c r="AX13" s="183"/>
      <c r="AY13" s="184"/>
      <c r="AZ13" s="184"/>
      <c r="BA13" s="184"/>
      <c r="BB13" s="184"/>
      <c r="BC13" s="184"/>
      <c r="BD13" s="184"/>
      <c r="BE13" s="185"/>
      <c r="BF13" s="186">
        <v>3306</v>
      </c>
      <c r="BG13" s="187"/>
      <c r="BH13" s="187"/>
      <c r="BI13" s="187"/>
      <c r="BJ13" s="187"/>
      <c r="BK13" s="187"/>
      <c r="BL13" s="187"/>
      <c r="BM13" s="188"/>
      <c r="BN13" s="183" t="s">
        <v>34</v>
      </c>
      <c r="BO13" s="184"/>
      <c r="BP13" s="184"/>
      <c r="BQ13" s="184"/>
      <c r="BR13" s="184"/>
      <c r="BS13" s="184"/>
      <c r="BT13" s="184"/>
      <c r="BU13" s="185"/>
      <c r="BV13" s="183" t="s">
        <v>34</v>
      </c>
      <c r="BW13" s="184"/>
      <c r="BX13" s="184"/>
      <c r="BY13" s="184"/>
      <c r="BZ13" s="184"/>
      <c r="CA13" s="184"/>
      <c r="CB13" s="184"/>
      <c r="CC13" s="185"/>
      <c r="CD13" s="189">
        <v>13398.668500000002</v>
      </c>
      <c r="CE13" s="189"/>
      <c r="CF13" s="189"/>
      <c r="CG13" s="189"/>
      <c r="CH13" s="189"/>
      <c r="CI13" s="189"/>
      <c r="CJ13" s="189"/>
      <c r="CK13" s="189"/>
      <c r="CL13" s="183" t="s">
        <v>34</v>
      </c>
      <c r="CM13" s="184"/>
      <c r="CN13" s="184"/>
      <c r="CO13" s="184"/>
      <c r="CP13" s="184"/>
      <c r="CQ13" s="184"/>
      <c r="CR13" s="184"/>
      <c r="CS13" s="185"/>
      <c r="CT13" s="183" t="s">
        <v>34</v>
      </c>
      <c r="CU13" s="184"/>
      <c r="CV13" s="184"/>
      <c r="CW13" s="184"/>
      <c r="CX13" s="184"/>
      <c r="CY13" s="184"/>
      <c r="CZ13" s="184"/>
      <c r="DA13" s="185"/>
    </row>
    <row r="14" spans="1:105" s="5" customFormat="1" ht="27.75" customHeight="1">
      <c r="A14" s="172"/>
      <c r="B14" s="172"/>
      <c r="C14" s="172"/>
      <c r="D14" s="172"/>
      <c r="E14" s="172"/>
      <c r="F14" s="195" t="s">
        <v>35</v>
      </c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6"/>
      <c r="AH14" s="183" t="s">
        <v>34</v>
      </c>
      <c r="AI14" s="184"/>
      <c r="AJ14" s="184"/>
      <c r="AK14" s="184"/>
      <c r="AL14" s="184"/>
      <c r="AM14" s="184"/>
      <c r="AN14" s="184"/>
      <c r="AO14" s="185"/>
      <c r="AP14" s="183" t="s">
        <v>34</v>
      </c>
      <c r="AQ14" s="184"/>
      <c r="AR14" s="184"/>
      <c r="AS14" s="184"/>
      <c r="AT14" s="184"/>
      <c r="AU14" s="184"/>
      <c r="AV14" s="184"/>
      <c r="AW14" s="185"/>
      <c r="AX14" s="183" t="s">
        <v>34</v>
      </c>
      <c r="AY14" s="184"/>
      <c r="AZ14" s="184"/>
      <c r="BA14" s="184"/>
      <c r="BB14" s="184"/>
      <c r="BC14" s="184"/>
      <c r="BD14" s="184"/>
      <c r="BE14" s="185"/>
      <c r="BF14" s="183" t="s">
        <v>34</v>
      </c>
      <c r="BG14" s="184"/>
      <c r="BH14" s="184"/>
      <c r="BI14" s="184"/>
      <c r="BJ14" s="184"/>
      <c r="BK14" s="184"/>
      <c r="BL14" s="184"/>
      <c r="BM14" s="185"/>
      <c r="BN14" s="183" t="s">
        <v>34</v>
      </c>
      <c r="BO14" s="184"/>
      <c r="BP14" s="184"/>
      <c r="BQ14" s="184"/>
      <c r="BR14" s="184"/>
      <c r="BS14" s="184"/>
      <c r="BT14" s="184"/>
      <c r="BU14" s="185"/>
      <c r="BV14" s="183" t="s">
        <v>34</v>
      </c>
      <c r="BW14" s="184"/>
      <c r="BX14" s="184"/>
      <c r="BY14" s="184"/>
      <c r="BZ14" s="184"/>
      <c r="CA14" s="184"/>
      <c r="CB14" s="184"/>
      <c r="CC14" s="185"/>
      <c r="CD14" s="183" t="s">
        <v>34</v>
      </c>
      <c r="CE14" s="184"/>
      <c r="CF14" s="184"/>
      <c r="CG14" s="184"/>
      <c r="CH14" s="184"/>
      <c r="CI14" s="184"/>
      <c r="CJ14" s="184"/>
      <c r="CK14" s="185"/>
      <c r="CL14" s="183" t="s">
        <v>34</v>
      </c>
      <c r="CM14" s="184"/>
      <c r="CN14" s="184"/>
      <c r="CO14" s="184"/>
      <c r="CP14" s="184"/>
      <c r="CQ14" s="184"/>
      <c r="CR14" s="184"/>
      <c r="CS14" s="185"/>
      <c r="CT14" s="183" t="s">
        <v>34</v>
      </c>
      <c r="CU14" s="184"/>
      <c r="CV14" s="184"/>
      <c r="CW14" s="184"/>
      <c r="CX14" s="184"/>
      <c r="CY14" s="184"/>
      <c r="CZ14" s="184"/>
      <c r="DA14" s="185"/>
    </row>
    <row r="15" spans="1:105" s="5" customFormat="1" ht="15" customHeight="1">
      <c r="A15" s="172" t="s">
        <v>13</v>
      </c>
      <c r="B15" s="172"/>
      <c r="C15" s="172"/>
      <c r="D15" s="172"/>
      <c r="E15" s="172"/>
      <c r="F15" s="173" t="s">
        <v>36</v>
      </c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94"/>
      <c r="AH15" s="186">
        <v>49</v>
      </c>
      <c r="AI15" s="187"/>
      <c r="AJ15" s="187"/>
      <c r="AK15" s="187"/>
      <c r="AL15" s="187"/>
      <c r="AM15" s="187"/>
      <c r="AN15" s="187"/>
      <c r="AO15" s="188"/>
      <c r="AP15" s="183" t="s">
        <v>34</v>
      </c>
      <c r="AQ15" s="184"/>
      <c r="AR15" s="184"/>
      <c r="AS15" s="184"/>
      <c r="AT15" s="184"/>
      <c r="AU15" s="184"/>
      <c r="AV15" s="184"/>
      <c r="AW15" s="185"/>
      <c r="AX15" s="183" t="s">
        <v>34</v>
      </c>
      <c r="AY15" s="184"/>
      <c r="AZ15" s="184"/>
      <c r="BA15" s="184"/>
      <c r="BB15" s="184"/>
      <c r="BC15" s="184"/>
      <c r="BD15" s="184"/>
      <c r="BE15" s="185"/>
      <c r="BF15" s="186">
        <v>4336</v>
      </c>
      <c r="BG15" s="187"/>
      <c r="BH15" s="187"/>
      <c r="BI15" s="187"/>
      <c r="BJ15" s="187"/>
      <c r="BK15" s="187"/>
      <c r="BL15" s="187"/>
      <c r="BM15" s="188"/>
      <c r="BN15" s="183" t="s">
        <v>34</v>
      </c>
      <c r="BO15" s="184"/>
      <c r="BP15" s="184"/>
      <c r="BQ15" s="184"/>
      <c r="BR15" s="184"/>
      <c r="BS15" s="184"/>
      <c r="BT15" s="184"/>
      <c r="BU15" s="185"/>
      <c r="BV15" s="183" t="s">
        <v>34</v>
      </c>
      <c r="BW15" s="184"/>
      <c r="BX15" s="184"/>
      <c r="BY15" s="184"/>
      <c r="BZ15" s="184"/>
      <c r="CA15" s="184"/>
      <c r="CB15" s="184"/>
      <c r="CC15" s="185"/>
      <c r="CD15" s="189">
        <v>18806.754433333332</v>
      </c>
      <c r="CE15" s="189"/>
      <c r="CF15" s="189"/>
      <c r="CG15" s="189"/>
      <c r="CH15" s="189"/>
      <c r="CI15" s="189"/>
      <c r="CJ15" s="189"/>
      <c r="CK15" s="189"/>
      <c r="CL15" s="183"/>
      <c r="CM15" s="184"/>
      <c r="CN15" s="184"/>
      <c r="CO15" s="184"/>
      <c r="CP15" s="184"/>
      <c r="CQ15" s="184"/>
      <c r="CR15" s="184"/>
      <c r="CS15" s="185"/>
      <c r="CT15" s="183" t="s">
        <v>34</v>
      </c>
      <c r="CU15" s="184"/>
      <c r="CV15" s="184"/>
      <c r="CW15" s="184"/>
      <c r="CX15" s="184"/>
      <c r="CY15" s="184"/>
      <c r="CZ15" s="184"/>
      <c r="DA15" s="185"/>
    </row>
    <row r="16" spans="1:105" s="5" customFormat="1" ht="27.75" customHeight="1">
      <c r="A16" s="172"/>
      <c r="B16" s="172"/>
      <c r="C16" s="172"/>
      <c r="D16" s="172"/>
      <c r="E16" s="172"/>
      <c r="F16" s="195" t="s">
        <v>37</v>
      </c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6"/>
      <c r="AH16" s="183" t="s">
        <v>34</v>
      </c>
      <c r="AI16" s="184"/>
      <c r="AJ16" s="184"/>
      <c r="AK16" s="184"/>
      <c r="AL16" s="184"/>
      <c r="AM16" s="184"/>
      <c r="AN16" s="184"/>
      <c r="AO16" s="185"/>
      <c r="AP16" s="183" t="s">
        <v>34</v>
      </c>
      <c r="AQ16" s="184"/>
      <c r="AR16" s="184"/>
      <c r="AS16" s="184"/>
      <c r="AT16" s="184"/>
      <c r="AU16" s="184"/>
      <c r="AV16" s="184"/>
      <c r="AW16" s="185"/>
      <c r="AX16" s="183" t="s">
        <v>34</v>
      </c>
      <c r="AY16" s="184"/>
      <c r="AZ16" s="184"/>
      <c r="BA16" s="184"/>
      <c r="BB16" s="184"/>
      <c r="BC16" s="184"/>
      <c r="BD16" s="184"/>
      <c r="BE16" s="185"/>
      <c r="BF16" s="183" t="s">
        <v>34</v>
      </c>
      <c r="BG16" s="184"/>
      <c r="BH16" s="184"/>
      <c r="BI16" s="184"/>
      <c r="BJ16" s="184"/>
      <c r="BK16" s="184"/>
      <c r="BL16" s="184"/>
      <c r="BM16" s="185"/>
      <c r="BN16" s="183" t="s">
        <v>34</v>
      </c>
      <c r="BO16" s="184"/>
      <c r="BP16" s="184"/>
      <c r="BQ16" s="184"/>
      <c r="BR16" s="184"/>
      <c r="BS16" s="184"/>
      <c r="BT16" s="184"/>
      <c r="BU16" s="185"/>
      <c r="BV16" s="183" t="s">
        <v>34</v>
      </c>
      <c r="BW16" s="184"/>
      <c r="BX16" s="184"/>
      <c r="BY16" s="184"/>
      <c r="BZ16" s="184"/>
      <c r="CA16" s="184"/>
      <c r="CB16" s="184"/>
      <c r="CC16" s="185"/>
      <c r="CD16" s="183" t="s">
        <v>34</v>
      </c>
      <c r="CE16" s="184"/>
      <c r="CF16" s="184"/>
      <c r="CG16" s="184"/>
      <c r="CH16" s="184"/>
      <c r="CI16" s="184"/>
      <c r="CJ16" s="184"/>
      <c r="CK16" s="185"/>
      <c r="CL16" s="183" t="s">
        <v>34</v>
      </c>
      <c r="CM16" s="184"/>
      <c r="CN16" s="184"/>
      <c r="CO16" s="184"/>
      <c r="CP16" s="184"/>
      <c r="CQ16" s="184"/>
      <c r="CR16" s="184"/>
      <c r="CS16" s="185"/>
      <c r="CT16" s="183" t="s">
        <v>34</v>
      </c>
      <c r="CU16" s="184"/>
      <c r="CV16" s="184"/>
      <c r="CW16" s="184"/>
      <c r="CX16" s="184"/>
      <c r="CY16" s="184"/>
      <c r="CZ16" s="184"/>
      <c r="DA16" s="185"/>
    </row>
    <row r="17" spans="1:105" s="5" customFormat="1" ht="15" customHeight="1">
      <c r="A17" s="172" t="s">
        <v>15</v>
      </c>
      <c r="B17" s="172"/>
      <c r="C17" s="172"/>
      <c r="D17" s="172"/>
      <c r="E17" s="172"/>
      <c r="F17" s="173" t="s">
        <v>38</v>
      </c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94"/>
      <c r="AH17" s="186">
        <v>7</v>
      </c>
      <c r="AI17" s="187"/>
      <c r="AJ17" s="187"/>
      <c r="AK17" s="187"/>
      <c r="AL17" s="187"/>
      <c r="AM17" s="187"/>
      <c r="AN17" s="187"/>
      <c r="AO17" s="188"/>
      <c r="AP17" s="183">
        <v>3</v>
      </c>
      <c r="AQ17" s="184"/>
      <c r="AR17" s="184"/>
      <c r="AS17" s="184"/>
      <c r="AT17" s="184"/>
      <c r="AU17" s="184"/>
      <c r="AV17" s="184"/>
      <c r="AW17" s="185"/>
      <c r="AX17" s="183"/>
      <c r="AY17" s="184"/>
      <c r="AZ17" s="184"/>
      <c r="BA17" s="184"/>
      <c r="BB17" s="184"/>
      <c r="BC17" s="184"/>
      <c r="BD17" s="184"/>
      <c r="BE17" s="185"/>
      <c r="BF17" s="186">
        <v>1925</v>
      </c>
      <c r="BG17" s="187"/>
      <c r="BH17" s="187"/>
      <c r="BI17" s="187"/>
      <c r="BJ17" s="187"/>
      <c r="BK17" s="187"/>
      <c r="BL17" s="187"/>
      <c r="BM17" s="188"/>
      <c r="BN17" s="183">
        <v>840</v>
      </c>
      <c r="BO17" s="184"/>
      <c r="BP17" s="184"/>
      <c r="BQ17" s="184"/>
      <c r="BR17" s="184"/>
      <c r="BS17" s="184"/>
      <c r="BT17" s="184"/>
      <c r="BU17" s="185"/>
      <c r="BV17" s="183"/>
      <c r="BW17" s="184"/>
      <c r="BX17" s="184"/>
      <c r="BY17" s="184"/>
      <c r="BZ17" s="184"/>
      <c r="CA17" s="184"/>
      <c r="CB17" s="184"/>
      <c r="CC17" s="185"/>
      <c r="CD17" s="189">
        <v>44494.990525000001</v>
      </c>
      <c r="CE17" s="189"/>
      <c r="CF17" s="189"/>
      <c r="CG17" s="189"/>
      <c r="CH17" s="189"/>
      <c r="CI17" s="189"/>
      <c r="CJ17" s="189"/>
      <c r="CK17" s="189"/>
      <c r="CL17" s="183">
        <v>18081.396383333336</v>
      </c>
      <c r="CM17" s="184"/>
      <c r="CN17" s="184"/>
      <c r="CO17" s="184"/>
      <c r="CP17" s="184"/>
      <c r="CQ17" s="184"/>
      <c r="CR17" s="184"/>
      <c r="CS17" s="185"/>
      <c r="CT17" s="183" t="s">
        <v>34</v>
      </c>
      <c r="CU17" s="184"/>
      <c r="CV17" s="184"/>
      <c r="CW17" s="184"/>
      <c r="CX17" s="184"/>
      <c r="CY17" s="184"/>
      <c r="CZ17" s="184"/>
      <c r="DA17" s="185"/>
    </row>
    <row r="18" spans="1:105" s="5" customFormat="1" ht="40.5" customHeight="1">
      <c r="A18" s="172"/>
      <c r="B18" s="172"/>
      <c r="C18" s="172"/>
      <c r="D18" s="172"/>
      <c r="E18" s="172"/>
      <c r="F18" s="195" t="s">
        <v>39</v>
      </c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6"/>
      <c r="AH18" s="183" t="s">
        <v>34</v>
      </c>
      <c r="AI18" s="184"/>
      <c r="AJ18" s="184"/>
      <c r="AK18" s="184"/>
      <c r="AL18" s="184"/>
      <c r="AM18" s="184"/>
      <c r="AN18" s="184"/>
      <c r="AO18" s="185"/>
      <c r="AP18" s="183" t="s">
        <v>34</v>
      </c>
      <c r="AQ18" s="184"/>
      <c r="AR18" s="184"/>
      <c r="AS18" s="184"/>
      <c r="AT18" s="184"/>
      <c r="AU18" s="184"/>
      <c r="AV18" s="184"/>
      <c r="AW18" s="185"/>
      <c r="AX18" s="183" t="s">
        <v>34</v>
      </c>
      <c r="AY18" s="184"/>
      <c r="AZ18" s="184"/>
      <c r="BA18" s="184"/>
      <c r="BB18" s="184"/>
      <c r="BC18" s="184"/>
      <c r="BD18" s="184"/>
      <c r="BE18" s="185"/>
      <c r="BF18" s="183" t="s">
        <v>34</v>
      </c>
      <c r="BG18" s="184"/>
      <c r="BH18" s="184"/>
      <c r="BI18" s="184"/>
      <c r="BJ18" s="184"/>
      <c r="BK18" s="184"/>
      <c r="BL18" s="184"/>
      <c r="BM18" s="185"/>
      <c r="BN18" s="183" t="s">
        <v>34</v>
      </c>
      <c r="BO18" s="184"/>
      <c r="BP18" s="184"/>
      <c r="BQ18" s="184"/>
      <c r="BR18" s="184"/>
      <c r="BS18" s="184"/>
      <c r="BT18" s="184"/>
      <c r="BU18" s="185"/>
      <c r="BV18" s="183" t="s">
        <v>34</v>
      </c>
      <c r="BW18" s="184"/>
      <c r="BX18" s="184"/>
      <c r="BY18" s="184"/>
      <c r="BZ18" s="184"/>
      <c r="CA18" s="184"/>
      <c r="CB18" s="184"/>
      <c r="CC18" s="185"/>
      <c r="CD18" s="183" t="s">
        <v>34</v>
      </c>
      <c r="CE18" s="184"/>
      <c r="CF18" s="184"/>
      <c r="CG18" s="184"/>
      <c r="CH18" s="184"/>
      <c r="CI18" s="184"/>
      <c r="CJ18" s="184"/>
      <c r="CK18" s="185"/>
      <c r="CL18" s="183" t="s">
        <v>34</v>
      </c>
      <c r="CM18" s="184"/>
      <c r="CN18" s="184"/>
      <c r="CO18" s="184"/>
      <c r="CP18" s="184"/>
      <c r="CQ18" s="184"/>
      <c r="CR18" s="184"/>
      <c r="CS18" s="185"/>
      <c r="CT18" s="183" t="s">
        <v>34</v>
      </c>
      <c r="CU18" s="184"/>
      <c r="CV18" s="184"/>
      <c r="CW18" s="184"/>
      <c r="CX18" s="184"/>
      <c r="CY18" s="184"/>
      <c r="CZ18" s="184"/>
      <c r="DA18" s="185"/>
    </row>
    <row r="19" spans="1:105" s="5" customFormat="1" ht="27.75" customHeight="1">
      <c r="A19" s="172" t="s">
        <v>40</v>
      </c>
      <c r="B19" s="172"/>
      <c r="C19" s="172"/>
      <c r="D19" s="172"/>
      <c r="E19" s="172"/>
      <c r="F19" s="173" t="s">
        <v>41</v>
      </c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94"/>
      <c r="AH19" s="183">
        <v>1</v>
      </c>
      <c r="AI19" s="184"/>
      <c r="AJ19" s="184"/>
      <c r="AK19" s="184"/>
      <c r="AL19" s="184"/>
      <c r="AM19" s="184"/>
      <c r="AN19" s="184"/>
      <c r="AO19" s="185"/>
      <c r="AP19" s="183">
        <v>1</v>
      </c>
      <c r="AQ19" s="184"/>
      <c r="AR19" s="184"/>
      <c r="AS19" s="184"/>
      <c r="AT19" s="184"/>
      <c r="AU19" s="184"/>
      <c r="AV19" s="184"/>
      <c r="AW19" s="185"/>
      <c r="AX19" s="183" t="s">
        <v>34</v>
      </c>
      <c r="AY19" s="184"/>
      <c r="AZ19" s="184"/>
      <c r="BA19" s="184"/>
      <c r="BB19" s="184"/>
      <c r="BC19" s="184"/>
      <c r="BD19" s="184"/>
      <c r="BE19" s="185"/>
      <c r="BF19" s="183">
        <v>1584</v>
      </c>
      <c r="BG19" s="184"/>
      <c r="BH19" s="184"/>
      <c r="BI19" s="184"/>
      <c r="BJ19" s="184"/>
      <c r="BK19" s="184"/>
      <c r="BL19" s="184"/>
      <c r="BM19" s="185"/>
      <c r="BN19" s="183">
        <v>810</v>
      </c>
      <c r="BO19" s="184"/>
      <c r="BP19" s="184"/>
      <c r="BQ19" s="184"/>
      <c r="BR19" s="184"/>
      <c r="BS19" s="184"/>
      <c r="BT19" s="184"/>
      <c r="BU19" s="185"/>
      <c r="BV19" s="183" t="s">
        <v>34</v>
      </c>
      <c r="BW19" s="184"/>
      <c r="BX19" s="184"/>
      <c r="BY19" s="184"/>
      <c r="BZ19" s="184"/>
      <c r="CA19" s="184"/>
      <c r="CB19" s="184"/>
      <c r="CC19" s="185"/>
      <c r="CD19" s="183">
        <v>161782.77814166667</v>
      </c>
      <c r="CE19" s="184"/>
      <c r="CF19" s="184"/>
      <c r="CG19" s="184"/>
      <c r="CH19" s="184"/>
      <c r="CI19" s="184"/>
      <c r="CJ19" s="184"/>
      <c r="CK19" s="185"/>
      <c r="CL19" s="183">
        <v>1004.2612666666668</v>
      </c>
      <c r="CM19" s="184"/>
      <c r="CN19" s="184"/>
      <c r="CO19" s="184"/>
      <c r="CP19" s="184"/>
      <c r="CQ19" s="184"/>
      <c r="CR19" s="184"/>
      <c r="CS19" s="185"/>
      <c r="CT19" s="183" t="s">
        <v>34</v>
      </c>
      <c r="CU19" s="184"/>
      <c r="CV19" s="184"/>
      <c r="CW19" s="184"/>
      <c r="CX19" s="184"/>
      <c r="CY19" s="184"/>
      <c r="CZ19" s="184"/>
      <c r="DA19" s="185"/>
    </row>
    <row r="20" spans="1:105" s="5" customFormat="1" ht="40.5" customHeight="1">
      <c r="A20" s="172"/>
      <c r="B20" s="172"/>
      <c r="C20" s="172"/>
      <c r="D20" s="172"/>
      <c r="E20" s="172"/>
      <c r="F20" s="195" t="s">
        <v>39</v>
      </c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6"/>
      <c r="AH20" s="183" t="s">
        <v>34</v>
      </c>
      <c r="AI20" s="184"/>
      <c r="AJ20" s="184"/>
      <c r="AK20" s="184"/>
      <c r="AL20" s="184"/>
      <c r="AM20" s="184"/>
      <c r="AN20" s="184"/>
      <c r="AO20" s="185"/>
      <c r="AP20" s="183" t="s">
        <v>34</v>
      </c>
      <c r="AQ20" s="184"/>
      <c r="AR20" s="184"/>
      <c r="AS20" s="184"/>
      <c r="AT20" s="184"/>
      <c r="AU20" s="184"/>
      <c r="AV20" s="184"/>
      <c r="AW20" s="185"/>
      <c r="AX20" s="183" t="s">
        <v>34</v>
      </c>
      <c r="AY20" s="184"/>
      <c r="AZ20" s="184"/>
      <c r="BA20" s="184"/>
      <c r="BB20" s="184"/>
      <c r="BC20" s="184"/>
      <c r="BD20" s="184"/>
      <c r="BE20" s="185"/>
      <c r="BF20" s="183" t="s">
        <v>34</v>
      </c>
      <c r="BG20" s="184"/>
      <c r="BH20" s="184"/>
      <c r="BI20" s="184"/>
      <c r="BJ20" s="184"/>
      <c r="BK20" s="184"/>
      <c r="BL20" s="184"/>
      <c r="BM20" s="185"/>
      <c r="BN20" s="183" t="s">
        <v>34</v>
      </c>
      <c r="BO20" s="184"/>
      <c r="BP20" s="184"/>
      <c r="BQ20" s="184"/>
      <c r="BR20" s="184"/>
      <c r="BS20" s="184"/>
      <c r="BT20" s="184"/>
      <c r="BU20" s="185"/>
      <c r="BV20" s="183" t="s">
        <v>34</v>
      </c>
      <c r="BW20" s="184"/>
      <c r="BX20" s="184"/>
      <c r="BY20" s="184"/>
      <c r="BZ20" s="184"/>
      <c r="CA20" s="184"/>
      <c r="CB20" s="184"/>
      <c r="CC20" s="185"/>
      <c r="CD20" s="183" t="s">
        <v>34</v>
      </c>
      <c r="CE20" s="184"/>
      <c r="CF20" s="184"/>
      <c r="CG20" s="184"/>
      <c r="CH20" s="184"/>
      <c r="CI20" s="184"/>
      <c r="CJ20" s="184"/>
      <c r="CK20" s="185"/>
      <c r="CL20" s="183" t="s">
        <v>34</v>
      </c>
      <c r="CM20" s="184"/>
      <c r="CN20" s="184"/>
      <c r="CO20" s="184"/>
      <c r="CP20" s="184"/>
      <c r="CQ20" s="184"/>
      <c r="CR20" s="184"/>
      <c r="CS20" s="185"/>
      <c r="CT20" s="183" t="s">
        <v>34</v>
      </c>
      <c r="CU20" s="184"/>
      <c r="CV20" s="184"/>
      <c r="CW20" s="184"/>
      <c r="CX20" s="184"/>
      <c r="CY20" s="184"/>
      <c r="CZ20" s="184"/>
      <c r="DA20" s="185"/>
    </row>
    <row r="21" spans="1:105" s="5" customFormat="1" ht="15" customHeight="1">
      <c r="A21" s="172" t="s">
        <v>42</v>
      </c>
      <c r="B21" s="172"/>
      <c r="C21" s="172"/>
      <c r="D21" s="172"/>
      <c r="E21" s="172"/>
      <c r="F21" s="173" t="s">
        <v>43</v>
      </c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94"/>
      <c r="AH21" s="183" t="s">
        <v>34</v>
      </c>
      <c r="AI21" s="184"/>
      <c r="AJ21" s="184"/>
      <c r="AK21" s="184"/>
      <c r="AL21" s="184"/>
      <c r="AM21" s="184"/>
      <c r="AN21" s="184"/>
      <c r="AO21" s="185"/>
      <c r="AP21" s="183" t="s">
        <v>34</v>
      </c>
      <c r="AQ21" s="184"/>
      <c r="AR21" s="184"/>
      <c r="AS21" s="184"/>
      <c r="AT21" s="184"/>
      <c r="AU21" s="184"/>
      <c r="AV21" s="184"/>
      <c r="AW21" s="185"/>
      <c r="AX21" s="183" t="s">
        <v>34</v>
      </c>
      <c r="AY21" s="184"/>
      <c r="AZ21" s="184"/>
      <c r="BA21" s="184"/>
      <c r="BB21" s="184"/>
      <c r="BC21" s="184"/>
      <c r="BD21" s="184"/>
      <c r="BE21" s="185"/>
      <c r="BF21" s="183" t="s">
        <v>34</v>
      </c>
      <c r="BG21" s="184"/>
      <c r="BH21" s="184"/>
      <c r="BI21" s="184"/>
      <c r="BJ21" s="184"/>
      <c r="BK21" s="184"/>
      <c r="BL21" s="184"/>
      <c r="BM21" s="185"/>
      <c r="BN21" s="183" t="s">
        <v>34</v>
      </c>
      <c r="BO21" s="184"/>
      <c r="BP21" s="184"/>
      <c r="BQ21" s="184"/>
      <c r="BR21" s="184"/>
      <c r="BS21" s="184"/>
      <c r="BT21" s="184"/>
      <c r="BU21" s="185"/>
      <c r="BV21" s="183" t="s">
        <v>34</v>
      </c>
      <c r="BW21" s="184"/>
      <c r="BX21" s="184"/>
      <c r="BY21" s="184"/>
      <c r="BZ21" s="184"/>
      <c r="CA21" s="184"/>
      <c r="CB21" s="184"/>
      <c r="CC21" s="185"/>
      <c r="CD21" s="183" t="s">
        <v>34</v>
      </c>
      <c r="CE21" s="184"/>
      <c r="CF21" s="184"/>
      <c r="CG21" s="184"/>
      <c r="CH21" s="184"/>
      <c r="CI21" s="184"/>
      <c r="CJ21" s="184"/>
      <c r="CK21" s="185"/>
      <c r="CL21" s="183" t="s">
        <v>34</v>
      </c>
      <c r="CM21" s="184"/>
      <c r="CN21" s="184"/>
      <c r="CO21" s="184"/>
      <c r="CP21" s="184"/>
      <c r="CQ21" s="184"/>
      <c r="CR21" s="184"/>
      <c r="CS21" s="185"/>
      <c r="CT21" s="183" t="s">
        <v>34</v>
      </c>
      <c r="CU21" s="184"/>
      <c r="CV21" s="184"/>
      <c r="CW21" s="184"/>
      <c r="CX21" s="184"/>
      <c r="CY21" s="184"/>
      <c r="CZ21" s="184"/>
      <c r="DA21" s="185"/>
    </row>
    <row r="22" spans="1:105" s="5" customFormat="1" ht="40.5" customHeight="1">
      <c r="A22" s="172"/>
      <c r="B22" s="172"/>
      <c r="C22" s="172"/>
      <c r="D22" s="172"/>
      <c r="E22" s="172"/>
      <c r="F22" s="195" t="s">
        <v>39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6"/>
      <c r="AH22" s="183" t="s">
        <v>34</v>
      </c>
      <c r="AI22" s="184"/>
      <c r="AJ22" s="184"/>
      <c r="AK22" s="184"/>
      <c r="AL22" s="184"/>
      <c r="AM22" s="184"/>
      <c r="AN22" s="184"/>
      <c r="AO22" s="185"/>
      <c r="AP22" s="183" t="s">
        <v>34</v>
      </c>
      <c r="AQ22" s="184"/>
      <c r="AR22" s="184"/>
      <c r="AS22" s="184"/>
      <c r="AT22" s="184"/>
      <c r="AU22" s="184"/>
      <c r="AV22" s="184"/>
      <c r="AW22" s="185"/>
      <c r="AX22" s="183" t="s">
        <v>34</v>
      </c>
      <c r="AY22" s="184"/>
      <c r="AZ22" s="184"/>
      <c r="BA22" s="184"/>
      <c r="BB22" s="184"/>
      <c r="BC22" s="184"/>
      <c r="BD22" s="184"/>
      <c r="BE22" s="185"/>
      <c r="BF22" s="183" t="s">
        <v>34</v>
      </c>
      <c r="BG22" s="184"/>
      <c r="BH22" s="184"/>
      <c r="BI22" s="184"/>
      <c r="BJ22" s="184"/>
      <c r="BK22" s="184"/>
      <c r="BL22" s="184"/>
      <c r="BM22" s="185"/>
      <c r="BN22" s="183" t="s">
        <v>34</v>
      </c>
      <c r="BO22" s="184"/>
      <c r="BP22" s="184"/>
      <c r="BQ22" s="184"/>
      <c r="BR22" s="184"/>
      <c r="BS22" s="184"/>
      <c r="BT22" s="184"/>
      <c r="BU22" s="185"/>
      <c r="BV22" s="183" t="s">
        <v>34</v>
      </c>
      <c r="BW22" s="184"/>
      <c r="BX22" s="184"/>
      <c r="BY22" s="184"/>
      <c r="BZ22" s="184"/>
      <c r="CA22" s="184"/>
      <c r="CB22" s="184"/>
      <c r="CC22" s="185"/>
      <c r="CD22" s="183" t="s">
        <v>34</v>
      </c>
      <c r="CE22" s="184"/>
      <c r="CF22" s="184"/>
      <c r="CG22" s="184"/>
      <c r="CH22" s="184"/>
      <c r="CI22" s="184"/>
      <c r="CJ22" s="184"/>
      <c r="CK22" s="185"/>
      <c r="CL22" s="183" t="s">
        <v>34</v>
      </c>
      <c r="CM22" s="184"/>
      <c r="CN22" s="184"/>
      <c r="CO22" s="184"/>
      <c r="CP22" s="184"/>
      <c r="CQ22" s="184"/>
      <c r="CR22" s="184"/>
      <c r="CS22" s="185"/>
      <c r="CT22" s="183" t="s">
        <v>34</v>
      </c>
      <c r="CU22" s="184"/>
      <c r="CV22" s="184"/>
      <c r="CW22" s="184"/>
      <c r="CX22" s="184"/>
      <c r="CY22" s="184"/>
      <c r="CZ22" s="184"/>
      <c r="DA22" s="185"/>
    </row>
    <row r="23" spans="1:105" s="5" customFormat="1" ht="15" customHeight="1">
      <c r="A23" s="172" t="s">
        <v>44</v>
      </c>
      <c r="B23" s="172"/>
      <c r="C23" s="172"/>
      <c r="D23" s="172"/>
      <c r="E23" s="172"/>
      <c r="F23" s="173" t="s">
        <v>45</v>
      </c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94"/>
      <c r="AH23" s="183" t="s">
        <v>34</v>
      </c>
      <c r="AI23" s="184"/>
      <c r="AJ23" s="184"/>
      <c r="AK23" s="184"/>
      <c r="AL23" s="184"/>
      <c r="AM23" s="184"/>
      <c r="AN23" s="184"/>
      <c r="AO23" s="185"/>
      <c r="AP23" s="183" t="s">
        <v>34</v>
      </c>
      <c r="AQ23" s="184"/>
      <c r="AR23" s="184"/>
      <c r="AS23" s="184"/>
      <c r="AT23" s="184"/>
      <c r="AU23" s="184"/>
      <c r="AV23" s="184"/>
      <c r="AW23" s="185"/>
      <c r="AX23" s="183" t="s">
        <v>34</v>
      </c>
      <c r="AY23" s="184"/>
      <c r="AZ23" s="184"/>
      <c r="BA23" s="184"/>
      <c r="BB23" s="184"/>
      <c r="BC23" s="184"/>
      <c r="BD23" s="184"/>
      <c r="BE23" s="185"/>
      <c r="BF23" s="183" t="s">
        <v>34</v>
      </c>
      <c r="BG23" s="184"/>
      <c r="BH23" s="184"/>
      <c r="BI23" s="184"/>
      <c r="BJ23" s="184"/>
      <c r="BK23" s="184"/>
      <c r="BL23" s="184"/>
      <c r="BM23" s="185"/>
      <c r="BN23" s="183" t="s">
        <v>34</v>
      </c>
      <c r="BO23" s="184"/>
      <c r="BP23" s="184"/>
      <c r="BQ23" s="184"/>
      <c r="BR23" s="184"/>
      <c r="BS23" s="184"/>
      <c r="BT23" s="184"/>
      <c r="BU23" s="185"/>
      <c r="BV23" s="183" t="s">
        <v>34</v>
      </c>
      <c r="BW23" s="184"/>
      <c r="BX23" s="184"/>
      <c r="BY23" s="184"/>
      <c r="BZ23" s="184"/>
      <c r="CA23" s="184"/>
      <c r="CB23" s="184"/>
      <c r="CC23" s="185"/>
      <c r="CD23" s="183" t="s">
        <v>34</v>
      </c>
      <c r="CE23" s="184"/>
      <c r="CF23" s="184"/>
      <c r="CG23" s="184"/>
      <c r="CH23" s="184"/>
      <c r="CI23" s="184"/>
      <c r="CJ23" s="184"/>
      <c r="CK23" s="185"/>
      <c r="CL23" s="183" t="s">
        <v>34</v>
      </c>
      <c r="CM23" s="184"/>
      <c r="CN23" s="184"/>
      <c r="CO23" s="184"/>
      <c r="CP23" s="184"/>
      <c r="CQ23" s="184"/>
      <c r="CR23" s="184"/>
      <c r="CS23" s="185"/>
      <c r="CT23" s="183" t="s">
        <v>34</v>
      </c>
      <c r="CU23" s="184"/>
      <c r="CV23" s="184"/>
      <c r="CW23" s="184"/>
      <c r="CX23" s="184"/>
      <c r="CY23" s="184"/>
      <c r="CZ23" s="184"/>
      <c r="DA23" s="185"/>
    </row>
    <row r="24" spans="1:105" ht="3" customHeight="1"/>
    <row r="25" spans="1:105" s="18" customFormat="1" ht="22.5" customHeight="1">
      <c r="A25" s="197" t="s">
        <v>46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</row>
    <row r="26" spans="1:105" s="18" customFormat="1" ht="71.25" customHeight="1">
      <c r="A26" s="197" t="s">
        <v>47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</row>
    <row r="27" spans="1:105" ht="3" customHeight="1"/>
    <row r="29" spans="1:105" ht="30" customHeight="1">
      <c r="A29" s="190" t="s">
        <v>27</v>
      </c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1"/>
      <c r="AH29" s="169" t="s">
        <v>28</v>
      </c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1"/>
      <c r="BF29" s="169" t="s">
        <v>29</v>
      </c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1"/>
      <c r="CD29" s="169" t="s">
        <v>30</v>
      </c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1"/>
    </row>
    <row r="30" spans="1:105" ht="29.25" customHeight="1">
      <c r="A30" s="192"/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3"/>
      <c r="AH30" s="169" t="s">
        <v>22</v>
      </c>
      <c r="AI30" s="170"/>
      <c r="AJ30" s="170"/>
      <c r="AK30" s="170"/>
      <c r="AL30" s="170"/>
      <c r="AM30" s="170"/>
      <c r="AN30" s="170"/>
      <c r="AO30" s="171"/>
      <c r="AP30" s="169" t="s">
        <v>31</v>
      </c>
      <c r="AQ30" s="170"/>
      <c r="AR30" s="170"/>
      <c r="AS30" s="170"/>
      <c r="AT30" s="170"/>
      <c r="AU30" s="170"/>
      <c r="AV30" s="170"/>
      <c r="AW30" s="171"/>
      <c r="AX30" s="169" t="s">
        <v>32</v>
      </c>
      <c r="AY30" s="170"/>
      <c r="AZ30" s="170"/>
      <c r="BA30" s="170"/>
      <c r="BB30" s="170"/>
      <c r="BC30" s="170"/>
      <c r="BD30" s="170"/>
      <c r="BE30" s="171"/>
      <c r="BF30" s="169" t="s">
        <v>22</v>
      </c>
      <c r="BG30" s="170"/>
      <c r="BH30" s="170"/>
      <c r="BI30" s="170"/>
      <c r="BJ30" s="170"/>
      <c r="BK30" s="170"/>
      <c r="BL30" s="170"/>
      <c r="BM30" s="171"/>
      <c r="BN30" s="169" t="s">
        <v>31</v>
      </c>
      <c r="BO30" s="170"/>
      <c r="BP30" s="170"/>
      <c r="BQ30" s="170"/>
      <c r="BR30" s="170"/>
      <c r="BS30" s="170"/>
      <c r="BT30" s="170"/>
      <c r="BU30" s="171"/>
      <c r="BV30" s="169" t="s">
        <v>32</v>
      </c>
      <c r="BW30" s="170"/>
      <c r="BX30" s="170"/>
      <c r="BY30" s="170"/>
      <c r="BZ30" s="170"/>
      <c r="CA30" s="170"/>
      <c r="CB30" s="170"/>
      <c r="CC30" s="171"/>
      <c r="CD30" s="169" t="s">
        <v>22</v>
      </c>
      <c r="CE30" s="170"/>
      <c r="CF30" s="170"/>
      <c r="CG30" s="170"/>
      <c r="CH30" s="170"/>
      <c r="CI30" s="170"/>
      <c r="CJ30" s="170"/>
      <c r="CK30" s="171"/>
      <c r="CL30" s="169" t="s">
        <v>31</v>
      </c>
      <c r="CM30" s="170"/>
      <c r="CN30" s="170"/>
      <c r="CO30" s="170"/>
      <c r="CP30" s="170"/>
      <c r="CQ30" s="170"/>
      <c r="CR30" s="170"/>
      <c r="CS30" s="171"/>
      <c r="CT30" s="169" t="s">
        <v>32</v>
      </c>
      <c r="CU30" s="170"/>
      <c r="CV30" s="170"/>
      <c r="CW30" s="170"/>
      <c r="CX30" s="170"/>
      <c r="CY30" s="170"/>
      <c r="CZ30" s="170"/>
      <c r="DA30" s="171"/>
    </row>
    <row r="31" spans="1:105">
      <c r="A31" s="172" t="s">
        <v>11</v>
      </c>
      <c r="B31" s="172"/>
      <c r="C31" s="172"/>
      <c r="D31" s="172"/>
      <c r="E31" s="172"/>
      <c r="F31" s="173" t="s">
        <v>33</v>
      </c>
      <c r="G31" s="173"/>
      <c r="H31" s="173"/>
      <c r="I31" s="173"/>
      <c r="J31" s="173"/>
      <c r="K31" s="173"/>
      <c r="L31" s="173"/>
      <c r="M31" s="173"/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94"/>
      <c r="AH31" s="186">
        <v>77</v>
      </c>
      <c r="AI31" s="187"/>
      <c r="AJ31" s="187"/>
      <c r="AK31" s="187"/>
      <c r="AL31" s="187"/>
      <c r="AM31" s="187"/>
      <c r="AN31" s="187"/>
      <c r="AO31" s="188"/>
      <c r="AP31" s="183" t="s">
        <v>34</v>
      </c>
      <c r="AQ31" s="184"/>
      <c r="AR31" s="184"/>
      <c r="AS31" s="184"/>
      <c r="AT31" s="184"/>
      <c r="AU31" s="184"/>
      <c r="AV31" s="184"/>
      <c r="AW31" s="185"/>
      <c r="AX31" s="183"/>
      <c r="AY31" s="184"/>
      <c r="AZ31" s="184"/>
      <c r="BA31" s="184"/>
      <c r="BB31" s="184"/>
      <c r="BC31" s="184"/>
      <c r="BD31" s="184"/>
      <c r="BE31" s="185"/>
      <c r="BF31" s="186">
        <v>1084</v>
      </c>
      <c r="BG31" s="187"/>
      <c r="BH31" s="187"/>
      <c r="BI31" s="187"/>
      <c r="BJ31" s="187"/>
      <c r="BK31" s="187"/>
      <c r="BL31" s="187"/>
      <c r="BM31" s="188"/>
      <c r="BN31" s="183" t="s">
        <v>34</v>
      </c>
      <c r="BO31" s="184"/>
      <c r="BP31" s="184"/>
      <c r="BQ31" s="184"/>
      <c r="BR31" s="184"/>
      <c r="BS31" s="184"/>
      <c r="BT31" s="184"/>
      <c r="BU31" s="185"/>
      <c r="BV31" s="183" t="s">
        <v>34</v>
      </c>
      <c r="BW31" s="184"/>
      <c r="BX31" s="184"/>
      <c r="BY31" s="184"/>
      <c r="BZ31" s="184"/>
      <c r="CA31" s="184"/>
      <c r="CB31" s="184"/>
      <c r="CC31" s="185"/>
      <c r="CD31" s="189">
        <f>4141.56348/1.2</f>
        <v>3451.3029000000001</v>
      </c>
      <c r="CE31" s="189"/>
      <c r="CF31" s="189"/>
      <c r="CG31" s="189"/>
      <c r="CH31" s="189"/>
      <c r="CI31" s="189"/>
      <c r="CJ31" s="189"/>
      <c r="CK31" s="189"/>
      <c r="CL31" s="183" t="s">
        <v>34</v>
      </c>
      <c r="CM31" s="184"/>
      <c r="CN31" s="184"/>
      <c r="CO31" s="184"/>
      <c r="CP31" s="184"/>
      <c r="CQ31" s="184"/>
      <c r="CR31" s="184"/>
      <c r="CS31" s="185"/>
      <c r="CT31" s="183" t="s">
        <v>34</v>
      </c>
      <c r="CU31" s="184"/>
      <c r="CV31" s="184"/>
      <c r="CW31" s="184"/>
      <c r="CX31" s="184"/>
      <c r="CY31" s="184"/>
      <c r="CZ31" s="184"/>
      <c r="DA31" s="185"/>
    </row>
    <row r="32" spans="1:105">
      <c r="A32" s="172"/>
      <c r="B32" s="172"/>
      <c r="C32" s="172"/>
      <c r="D32" s="172"/>
      <c r="E32" s="172"/>
      <c r="F32" s="195" t="s">
        <v>35</v>
      </c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  <c r="AF32" s="195"/>
      <c r="AG32" s="196"/>
      <c r="AH32" s="183"/>
      <c r="AI32" s="184"/>
      <c r="AJ32" s="184"/>
      <c r="AK32" s="184"/>
      <c r="AL32" s="184"/>
      <c r="AM32" s="184"/>
      <c r="AN32" s="184"/>
      <c r="AO32" s="185"/>
      <c r="AP32" s="183"/>
      <c r="AQ32" s="184"/>
      <c r="AR32" s="184"/>
      <c r="AS32" s="184"/>
      <c r="AT32" s="184"/>
      <c r="AU32" s="184"/>
      <c r="AV32" s="184"/>
      <c r="AW32" s="185"/>
      <c r="AX32" s="183"/>
      <c r="AY32" s="184"/>
      <c r="AZ32" s="184"/>
      <c r="BA32" s="184"/>
      <c r="BB32" s="184"/>
      <c r="BC32" s="184"/>
      <c r="BD32" s="184"/>
      <c r="BE32" s="185"/>
      <c r="BF32" s="183"/>
      <c r="BG32" s="184"/>
      <c r="BH32" s="184"/>
      <c r="BI32" s="184"/>
      <c r="BJ32" s="184"/>
      <c r="BK32" s="184"/>
      <c r="BL32" s="184"/>
      <c r="BM32" s="185"/>
      <c r="BN32" s="183"/>
      <c r="BO32" s="184"/>
      <c r="BP32" s="184"/>
      <c r="BQ32" s="184"/>
      <c r="BR32" s="184"/>
      <c r="BS32" s="184"/>
      <c r="BT32" s="184"/>
      <c r="BU32" s="185"/>
      <c r="BV32" s="183"/>
      <c r="BW32" s="184"/>
      <c r="BX32" s="184"/>
      <c r="BY32" s="184"/>
      <c r="BZ32" s="184"/>
      <c r="CA32" s="184"/>
      <c r="CB32" s="184"/>
      <c r="CC32" s="185"/>
      <c r="CD32" s="183"/>
      <c r="CE32" s="184"/>
      <c r="CF32" s="184"/>
      <c r="CG32" s="184"/>
      <c r="CH32" s="184"/>
      <c r="CI32" s="184"/>
      <c r="CJ32" s="184"/>
      <c r="CK32" s="185"/>
      <c r="CL32" s="183" t="s">
        <v>34</v>
      </c>
      <c r="CM32" s="184"/>
      <c r="CN32" s="184"/>
      <c r="CO32" s="184"/>
      <c r="CP32" s="184"/>
      <c r="CQ32" s="184"/>
      <c r="CR32" s="184"/>
      <c r="CS32" s="185"/>
      <c r="CT32" s="183" t="s">
        <v>34</v>
      </c>
      <c r="CU32" s="184"/>
      <c r="CV32" s="184"/>
      <c r="CW32" s="184"/>
      <c r="CX32" s="184"/>
      <c r="CY32" s="184"/>
      <c r="CZ32" s="184"/>
      <c r="DA32" s="185"/>
    </row>
    <row r="33" spans="1:105">
      <c r="A33" s="172" t="s">
        <v>13</v>
      </c>
      <c r="B33" s="172"/>
      <c r="C33" s="172"/>
      <c r="D33" s="172"/>
      <c r="E33" s="172"/>
      <c r="F33" s="173" t="s">
        <v>36</v>
      </c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94"/>
      <c r="AH33" s="186">
        <v>29</v>
      </c>
      <c r="AI33" s="187"/>
      <c r="AJ33" s="187"/>
      <c r="AK33" s="187"/>
      <c r="AL33" s="187"/>
      <c r="AM33" s="187"/>
      <c r="AN33" s="187"/>
      <c r="AO33" s="188"/>
      <c r="AP33" s="183">
        <v>2</v>
      </c>
      <c r="AQ33" s="184"/>
      <c r="AR33" s="184"/>
      <c r="AS33" s="184"/>
      <c r="AT33" s="184"/>
      <c r="AU33" s="184"/>
      <c r="AV33" s="184"/>
      <c r="AW33" s="185"/>
      <c r="AX33" s="183"/>
      <c r="AY33" s="184"/>
      <c r="AZ33" s="184"/>
      <c r="BA33" s="184"/>
      <c r="BB33" s="184"/>
      <c r="BC33" s="184"/>
      <c r="BD33" s="184"/>
      <c r="BE33" s="185"/>
      <c r="BF33" s="186">
        <v>2472</v>
      </c>
      <c r="BG33" s="187"/>
      <c r="BH33" s="187"/>
      <c r="BI33" s="187"/>
      <c r="BJ33" s="187"/>
      <c r="BK33" s="187"/>
      <c r="BL33" s="187"/>
      <c r="BM33" s="188"/>
      <c r="BN33" s="183">
        <v>300</v>
      </c>
      <c r="BO33" s="184"/>
      <c r="BP33" s="184"/>
      <c r="BQ33" s="184"/>
      <c r="BR33" s="184"/>
      <c r="BS33" s="184"/>
      <c r="BT33" s="184"/>
      <c r="BU33" s="185"/>
      <c r="BV33" s="183"/>
      <c r="BW33" s="184"/>
      <c r="BX33" s="184"/>
      <c r="BY33" s="184"/>
      <c r="BZ33" s="184"/>
      <c r="CA33" s="184"/>
      <c r="CB33" s="184"/>
      <c r="CC33" s="185"/>
      <c r="CD33" s="189">
        <v>3148.41</v>
      </c>
      <c r="CE33" s="189"/>
      <c r="CF33" s="189"/>
      <c r="CG33" s="189"/>
      <c r="CH33" s="189"/>
      <c r="CI33" s="189"/>
      <c r="CJ33" s="189"/>
      <c r="CK33" s="189"/>
      <c r="CL33" s="183">
        <v>136.6</v>
      </c>
      <c r="CM33" s="184"/>
      <c r="CN33" s="184"/>
      <c r="CO33" s="184"/>
      <c r="CP33" s="184"/>
      <c r="CQ33" s="184"/>
      <c r="CR33" s="184"/>
      <c r="CS33" s="185"/>
      <c r="CT33" s="183" t="s">
        <v>34</v>
      </c>
      <c r="CU33" s="184"/>
      <c r="CV33" s="184"/>
      <c r="CW33" s="184"/>
      <c r="CX33" s="184"/>
      <c r="CY33" s="184"/>
      <c r="CZ33" s="184"/>
      <c r="DA33" s="185"/>
    </row>
    <row r="34" spans="1:105">
      <c r="A34" s="172"/>
      <c r="B34" s="172"/>
      <c r="C34" s="172"/>
      <c r="D34" s="172"/>
      <c r="E34" s="172"/>
      <c r="F34" s="195" t="s">
        <v>37</v>
      </c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5"/>
      <c r="AG34" s="196"/>
      <c r="AH34" s="183"/>
      <c r="AI34" s="184"/>
      <c r="AJ34" s="184"/>
      <c r="AK34" s="184"/>
      <c r="AL34" s="184"/>
      <c r="AM34" s="184"/>
      <c r="AN34" s="184"/>
      <c r="AO34" s="185"/>
      <c r="AP34" s="183"/>
      <c r="AQ34" s="184"/>
      <c r="AR34" s="184"/>
      <c r="AS34" s="184"/>
      <c r="AT34" s="184"/>
      <c r="AU34" s="184"/>
      <c r="AV34" s="184"/>
      <c r="AW34" s="185"/>
      <c r="AX34" s="183"/>
      <c r="AY34" s="184"/>
      <c r="AZ34" s="184"/>
      <c r="BA34" s="184"/>
      <c r="BB34" s="184"/>
      <c r="BC34" s="184"/>
      <c r="BD34" s="184"/>
      <c r="BE34" s="185"/>
      <c r="BF34" s="183"/>
      <c r="BG34" s="184"/>
      <c r="BH34" s="184"/>
      <c r="BI34" s="184"/>
      <c r="BJ34" s="184"/>
      <c r="BK34" s="184"/>
      <c r="BL34" s="184"/>
      <c r="BM34" s="185"/>
      <c r="BN34" s="183"/>
      <c r="BO34" s="184"/>
      <c r="BP34" s="184"/>
      <c r="BQ34" s="184"/>
      <c r="BR34" s="184"/>
      <c r="BS34" s="184"/>
      <c r="BT34" s="184"/>
      <c r="BU34" s="185"/>
      <c r="BV34" s="183"/>
      <c r="BW34" s="184"/>
      <c r="BX34" s="184"/>
      <c r="BY34" s="184"/>
      <c r="BZ34" s="184"/>
      <c r="CA34" s="184"/>
      <c r="CB34" s="184"/>
      <c r="CC34" s="185"/>
      <c r="CD34" s="183"/>
      <c r="CE34" s="184"/>
      <c r="CF34" s="184"/>
      <c r="CG34" s="184"/>
      <c r="CH34" s="184"/>
      <c r="CI34" s="184"/>
      <c r="CJ34" s="184"/>
      <c r="CK34" s="185"/>
      <c r="CL34" s="183" t="s">
        <v>34</v>
      </c>
      <c r="CM34" s="184"/>
      <c r="CN34" s="184"/>
      <c r="CO34" s="184"/>
      <c r="CP34" s="184"/>
      <c r="CQ34" s="184"/>
      <c r="CR34" s="184"/>
      <c r="CS34" s="185"/>
      <c r="CT34" s="183" t="s">
        <v>34</v>
      </c>
      <c r="CU34" s="184"/>
      <c r="CV34" s="184"/>
      <c r="CW34" s="184"/>
      <c r="CX34" s="184"/>
      <c r="CY34" s="184"/>
      <c r="CZ34" s="184"/>
      <c r="DA34" s="185"/>
    </row>
    <row r="35" spans="1:105">
      <c r="A35" s="172" t="s">
        <v>15</v>
      </c>
      <c r="B35" s="172"/>
      <c r="C35" s="172"/>
      <c r="D35" s="172"/>
      <c r="E35" s="172"/>
      <c r="F35" s="173" t="s">
        <v>38</v>
      </c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94"/>
      <c r="AH35" s="186">
        <v>8</v>
      </c>
      <c r="AI35" s="187"/>
      <c r="AJ35" s="187"/>
      <c r="AK35" s="187"/>
      <c r="AL35" s="187"/>
      <c r="AM35" s="187"/>
      <c r="AN35" s="187"/>
      <c r="AO35" s="188"/>
      <c r="AP35" s="183">
        <v>5</v>
      </c>
      <c r="AQ35" s="184"/>
      <c r="AR35" s="184"/>
      <c r="AS35" s="184"/>
      <c r="AT35" s="184"/>
      <c r="AU35" s="184"/>
      <c r="AV35" s="184"/>
      <c r="AW35" s="185"/>
      <c r="AX35" s="183"/>
      <c r="AY35" s="184"/>
      <c r="AZ35" s="184"/>
      <c r="BA35" s="184"/>
      <c r="BB35" s="184"/>
      <c r="BC35" s="184"/>
      <c r="BD35" s="184"/>
      <c r="BE35" s="185"/>
      <c r="BF35" s="186">
        <v>2455.59</v>
      </c>
      <c r="BG35" s="187"/>
      <c r="BH35" s="187"/>
      <c r="BI35" s="187"/>
      <c r="BJ35" s="187"/>
      <c r="BK35" s="187"/>
      <c r="BL35" s="187"/>
      <c r="BM35" s="188"/>
      <c r="BN35" s="183">
        <v>2180</v>
      </c>
      <c r="BO35" s="184"/>
      <c r="BP35" s="184"/>
      <c r="BQ35" s="184"/>
      <c r="BR35" s="184"/>
      <c r="BS35" s="184"/>
      <c r="BT35" s="184"/>
      <c r="BU35" s="185"/>
      <c r="BV35" s="183"/>
      <c r="BW35" s="184"/>
      <c r="BX35" s="184"/>
      <c r="BY35" s="184"/>
      <c r="BZ35" s="184"/>
      <c r="CA35" s="184"/>
      <c r="CB35" s="184"/>
      <c r="CC35" s="185"/>
      <c r="CD35" s="189">
        <v>44546.37</v>
      </c>
      <c r="CE35" s="189"/>
      <c r="CF35" s="189"/>
      <c r="CG35" s="189"/>
      <c r="CH35" s="189"/>
      <c r="CI35" s="189"/>
      <c r="CJ35" s="189"/>
      <c r="CK35" s="189"/>
      <c r="CL35" s="183">
        <v>696.65</v>
      </c>
      <c r="CM35" s="184"/>
      <c r="CN35" s="184"/>
      <c r="CO35" s="184"/>
      <c r="CP35" s="184"/>
      <c r="CQ35" s="184"/>
      <c r="CR35" s="184"/>
      <c r="CS35" s="185"/>
      <c r="CT35" s="183" t="s">
        <v>34</v>
      </c>
      <c r="CU35" s="184"/>
      <c r="CV35" s="184"/>
      <c r="CW35" s="184"/>
      <c r="CX35" s="184"/>
      <c r="CY35" s="184"/>
      <c r="CZ35" s="184"/>
      <c r="DA35" s="185"/>
    </row>
    <row r="36" spans="1:105">
      <c r="A36" s="172"/>
      <c r="B36" s="172"/>
      <c r="C36" s="172"/>
      <c r="D36" s="172"/>
      <c r="E36" s="172"/>
      <c r="F36" s="195" t="s">
        <v>39</v>
      </c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6"/>
      <c r="AH36" s="183"/>
      <c r="AI36" s="184"/>
      <c r="AJ36" s="184"/>
      <c r="AK36" s="184"/>
      <c r="AL36" s="184"/>
      <c r="AM36" s="184"/>
      <c r="AN36" s="184"/>
      <c r="AO36" s="185"/>
      <c r="AP36" s="183"/>
      <c r="AQ36" s="184"/>
      <c r="AR36" s="184"/>
      <c r="AS36" s="184"/>
      <c r="AT36" s="184"/>
      <c r="AU36" s="184"/>
      <c r="AV36" s="184"/>
      <c r="AW36" s="185"/>
      <c r="AX36" s="183"/>
      <c r="AY36" s="184"/>
      <c r="AZ36" s="184"/>
      <c r="BA36" s="184"/>
      <c r="BB36" s="184"/>
      <c r="BC36" s="184"/>
      <c r="BD36" s="184"/>
      <c r="BE36" s="185"/>
      <c r="BF36" s="183"/>
      <c r="BG36" s="184"/>
      <c r="BH36" s="184"/>
      <c r="BI36" s="184"/>
      <c r="BJ36" s="184"/>
      <c r="BK36" s="184"/>
      <c r="BL36" s="184"/>
      <c r="BM36" s="185"/>
      <c r="BN36" s="183"/>
      <c r="BO36" s="184"/>
      <c r="BP36" s="184"/>
      <c r="BQ36" s="184"/>
      <c r="BR36" s="184"/>
      <c r="BS36" s="184"/>
      <c r="BT36" s="184"/>
      <c r="BU36" s="185"/>
      <c r="BV36" s="183"/>
      <c r="BW36" s="184"/>
      <c r="BX36" s="184"/>
      <c r="BY36" s="184"/>
      <c r="BZ36" s="184"/>
      <c r="CA36" s="184"/>
      <c r="CB36" s="184"/>
      <c r="CC36" s="185"/>
      <c r="CD36" s="183"/>
      <c r="CE36" s="184"/>
      <c r="CF36" s="184"/>
      <c r="CG36" s="184"/>
      <c r="CH36" s="184"/>
      <c r="CI36" s="184"/>
      <c r="CJ36" s="184"/>
      <c r="CK36" s="185"/>
      <c r="CL36" s="183" t="s">
        <v>34</v>
      </c>
      <c r="CM36" s="184"/>
      <c r="CN36" s="184"/>
      <c r="CO36" s="184"/>
      <c r="CP36" s="184"/>
      <c r="CQ36" s="184"/>
      <c r="CR36" s="184"/>
      <c r="CS36" s="185"/>
      <c r="CT36" s="183" t="s">
        <v>34</v>
      </c>
      <c r="CU36" s="184"/>
      <c r="CV36" s="184"/>
      <c r="CW36" s="184"/>
      <c r="CX36" s="184"/>
      <c r="CY36" s="184"/>
      <c r="CZ36" s="184"/>
      <c r="DA36" s="185"/>
    </row>
    <row r="37" spans="1:105">
      <c r="A37" s="172" t="s">
        <v>40</v>
      </c>
      <c r="B37" s="172"/>
      <c r="C37" s="172"/>
      <c r="D37" s="172"/>
      <c r="E37" s="172"/>
      <c r="F37" s="173" t="s">
        <v>41</v>
      </c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94"/>
      <c r="AH37" s="183">
        <v>1</v>
      </c>
      <c r="AI37" s="184"/>
      <c r="AJ37" s="184"/>
      <c r="AK37" s="184"/>
      <c r="AL37" s="184"/>
      <c r="AM37" s="184"/>
      <c r="AN37" s="184"/>
      <c r="AO37" s="185"/>
      <c r="AP37" s="183">
        <v>4</v>
      </c>
      <c r="AQ37" s="184"/>
      <c r="AR37" s="184"/>
      <c r="AS37" s="184"/>
      <c r="AT37" s="184"/>
      <c r="AU37" s="184"/>
      <c r="AV37" s="184"/>
      <c r="AW37" s="185"/>
      <c r="AX37" s="183" t="s">
        <v>34</v>
      </c>
      <c r="AY37" s="184"/>
      <c r="AZ37" s="184"/>
      <c r="BA37" s="184"/>
      <c r="BB37" s="184"/>
      <c r="BC37" s="184"/>
      <c r="BD37" s="184"/>
      <c r="BE37" s="185"/>
      <c r="BF37" s="183">
        <v>1214</v>
      </c>
      <c r="BG37" s="184"/>
      <c r="BH37" s="184"/>
      <c r="BI37" s="184"/>
      <c r="BJ37" s="184"/>
      <c r="BK37" s="184"/>
      <c r="BL37" s="184"/>
      <c r="BM37" s="185"/>
      <c r="BN37" s="183">
        <v>4800</v>
      </c>
      <c r="BO37" s="184"/>
      <c r="BP37" s="184"/>
      <c r="BQ37" s="184"/>
      <c r="BR37" s="184"/>
      <c r="BS37" s="184"/>
      <c r="BT37" s="184"/>
      <c r="BU37" s="185"/>
      <c r="BV37" s="183" t="s">
        <v>34</v>
      </c>
      <c r="BW37" s="184"/>
      <c r="BX37" s="184"/>
      <c r="BY37" s="184"/>
      <c r="BZ37" s="184"/>
      <c r="CA37" s="184"/>
      <c r="CB37" s="184"/>
      <c r="CC37" s="185"/>
      <c r="CD37" s="183">
        <v>60871.35</v>
      </c>
      <c r="CE37" s="184"/>
      <c r="CF37" s="184"/>
      <c r="CG37" s="184"/>
      <c r="CH37" s="184"/>
      <c r="CI37" s="184"/>
      <c r="CJ37" s="184"/>
      <c r="CK37" s="185"/>
      <c r="CL37" s="183">
        <v>38478.22</v>
      </c>
      <c r="CM37" s="184"/>
      <c r="CN37" s="184"/>
      <c r="CO37" s="184"/>
      <c r="CP37" s="184"/>
      <c r="CQ37" s="184"/>
      <c r="CR37" s="184"/>
      <c r="CS37" s="185"/>
      <c r="CT37" s="183" t="s">
        <v>34</v>
      </c>
      <c r="CU37" s="184"/>
      <c r="CV37" s="184"/>
      <c r="CW37" s="184"/>
      <c r="CX37" s="184"/>
      <c r="CY37" s="184"/>
      <c r="CZ37" s="184"/>
      <c r="DA37" s="185"/>
    </row>
    <row r="38" spans="1:105">
      <c r="A38" s="172"/>
      <c r="B38" s="172"/>
      <c r="C38" s="172"/>
      <c r="D38" s="172"/>
      <c r="E38" s="172"/>
      <c r="F38" s="195" t="s">
        <v>39</v>
      </c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6"/>
      <c r="AH38" s="183" t="s">
        <v>34</v>
      </c>
      <c r="AI38" s="184"/>
      <c r="AJ38" s="184"/>
      <c r="AK38" s="184"/>
      <c r="AL38" s="184"/>
      <c r="AM38" s="184"/>
      <c r="AN38" s="184"/>
      <c r="AO38" s="185"/>
      <c r="AP38" s="183" t="s">
        <v>34</v>
      </c>
      <c r="AQ38" s="184"/>
      <c r="AR38" s="184"/>
      <c r="AS38" s="184"/>
      <c r="AT38" s="184"/>
      <c r="AU38" s="184"/>
      <c r="AV38" s="184"/>
      <c r="AW38" s="185"/>
      <c r="AX38" s="183" t="s">
        <v>34</v>
      </c>
      <c r="AY38" s="184"/>
      <c r="AZ38" s="184"/>
      <c r="BA38" s="184"/>
      <c r="BB38" s="184"/>
      <c r="BC38" s="184"/>
      <c r="BD38" s="184"/>
      <c r="BE38" s="185"/>
      <c r="BF38" s="183" t="s">
        <v>34</v>
      </c>
      <c r="BG38" s="184"/>
      <c r="BH38" s="184"/>
      <c r="BI38" s="184"/>
      <c r="BJ38" s="184"/>
      <c r="BK38" s="184"/>
      <c r="BL38" s="184"/>
      <c r="BM38" s="185"/>
      <c r="BN38" s="183" t="s">
        <v>34</v>
      </c>
      <c r="BO38" s="184"/>
      <c r="BP38" s="184"/>
      <c r="BQ38" s="184"/>
      <c r="BR38" s="184"/>
      <c r="BS38" s="184"/>
      <c r="BT38" s="184"/>
      <c r="BU38" s="185"/>
      <c r="BV38" s="183" t="s">
        <v>34</v>
      </c>
      <c r="BW38" s="184"/>
      <c r="BX38" s="184"/>
      <c r="BY38" s="184"/>
      <c r="BZ38" s="184"/>
      <c r="CA38" s="184"/>
      <c r="CB38" s="184"/>
      <c r="CC38" s="185"/>
      <c r="CD38" s="183" t="s">
        <v>34</v>
      </c>
      <c r="CE38" s="184"/>
      <c r="CF38" s="184"/>
      <c r="CG38" s="184"/>
      <c r="CH38" s="184"/>
      <c r="CI38" s="184"/>
      <c r="CJ38" s="184"/>
      <c r="CK38" s="185"/>
      <c r="CL38" s="183" t="s">
        <v>34</v>
      </c>
      <c r="CM38" s="184"/>
      <c r="CN38" s="184"/>
      <c r="CO38" s="184"/>
      <c r="CP38" s="184"/>
      <c r="CQ38" s="184"/>
      <c r="CR38" s="184"/>
      <c r="CS38" s="185"/>
      <c r="CT38" s="183" t="s">
        <v>34</v>
      </c>
      <c r="CU38" s="184"/>
      <c r="CV38" s="184"/>
      <c r="CW38" s="184"/>
      <c r="CX38" s="184"/>
      <c r="CY38" s="184"/>
      <c r="CZ38" s="184"/>
      <c r="DA38" s="185"/>
    </row>
    <row r="39" spans="1:105">
      <c r="A39" s="172" t="s">
        <v>42</v>
      </c>
      <c r="B39" s="172"/>
      <c r="C39" s="172"/>
      <c r="D39" s="172"/>
      <c r="E39" s="172"/>
      <c r="F39" s="173" t="s">
        <v>43</v>
      </c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94"/>
      <c r="AH39" s="183" t="s">
        <v>34</v>
      </c>
      <c r="AI39" s="184"/>
      <c r="AJ39" s="184"/>
      <c r="AK39" s="184"/>
      <c r="AL39" s="184"/>
      <c r="AM39" s="184"/>
      <c r="AN39" s="184"/>
      <c r="AO39" s="185"/>
      <c r="AP39" s="183" t="s">
        <v>34</v>
      </c>
      <c r="AQ39" s="184"/>
      <c r="AR39" s="184"/>
      <c r="AS39" s="184"/>
      <c r="AT39" s="184"/>
      <c r="AU39" s="184"/>
      <c r="AV39" s="184"/>
      <c r="AW39" s="185"/>
      <c r="AX39" s="183" t="s">
        <v>34</v>
      </c>
      <c r="AY39" s="184"/>
      <c r="AZ39" s="184"/>
      <c r="BA39" s="184"/>
      <c r="BB39" s="184"/>
      <c r="BC39" s="184"/>
      <c r="BD39" s="184"/>
      <c r="BE39" s="185"/>
      <c r="BF39" s="183" t="s">
        <v>34</v>
      </c>
      <c r="BG39" s="184"/>
      <c r="BH39" s="184"/>
      <c r="BI39" s="184"/>
      <c r="BJ39" s="184"/>
      <c r="BK39" s="184"/>
      <c r="BL39" s="184"/>
      <c r="BM39" s="185"/>
      <c r="BN39" s="183" t="s">
        <v>34</v>
      </c>
      <c r="BO39" s="184"/>
      <c r="BP39" s="184"/>
      <c r="BQ39" s="184"/>
      <c r="BR39" s="184"/>
      <c r="BS39" s="184"/>
      <c r="BT39" s="184"/>
      <c r="BU39" s="185"/>
      <c r="BV39" s="183" t="s">
        <v>34</v>
      </c>
      <c r="BW39" s="184"/>
      <c r="BX39" s="184"/>
      <c r="BY39" s="184"/>
      <c r="BZ39" s="184"/>
      <c r="CA39" s="184"/>
      <c r="CB39" s="184"/>
      <c r="CC39" s="185"/>
      <c r="CD39" s="183" t="s">
        <v>34</v>
      </c>
      <c r="CE39" s="184"/>
      <c r="CF39" s="184"/>
      <c r="CG39" s="184"/>
      <c r="CH39" s="184"/>
      <c r="CI39" s="184"/>
      <c r="CJ39" s="184"/>
      <c r="CK39" s="185"/>
      <c r="CL39" s="183" t="s">
        <v>34</v>
      </c>
      <c r="CM39" s="184"/>
      <c r="CN39" s="184"/>
      <c r="CO39" s="184"/>
      <c r="CP39" s="184"/>
      <c r="CQ39" s="184"/>
      <c r="CR39" s="184"/>
      <c r="CS39" s="185"/>
      <c r="CT39" s="183" t="s">
        <v>34</v>
      </c>
      <c r="CU39" s="184"/>
      <c r="CV39" s="184"/>
      <c r="CW39" s="184"/>
      <c r="CX39" s="184"/>
      <c r="CY39" s="184"/>
      <c r="CZ39" s="184"/>
      <c r="DA39" s="185"/>
    </row>
    <row r="40" spans="1:105">
      <c r="A40" s="172"/>
      <c r="B40" s="172"/>
      <c r="C40" s="172"/>
      <c r="D40" s="172"/>
      <c r="E40" s="172"/>
      <c r="F40" s="195" t="s">
        <v>39</v>
      </c>
      <c r="G40" s="195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6"/>
      <c r="AH40" s="183" t="s">
        <v>34</v>
      </c>
      <c r="AI40" s="184"/>
      <c r="AJ40" s="184"/>
      <c r="AK40" s="184"/>
      <c r="AL40" s="184"/>
      <c r="AM40" s="184"/>
      <c r="AN40" s="184"/>
      <c r="AO40" s="185"/>
      <c r="AP40" s="183" t="s">
        <v>34</v>
      </c>
      <c r="AQ40" s="184"/>
      <c r="AR40" s="184"/>
      <c r="AS40" s="184"/>
      <c r="AT40" s="184"/>
      <c r="AU40" s="184"/>
      <c r="AV40" s="184"/>
      <c r="AW40" s="185"/>
      <c r="AX40" s="183" t="s">
        <v>34</v>
      </c>
      <c r="AY40" s="184"/>
      <c r="AZ40" s="184"/>
      <c r="BA40" s="184"/>
      <c r="BB40" s="184"/>
      <c r="BC40" s="184"/>
      <c r="BD40" s="184"/>
      <c r="BE40" s="185"/>
      <c r="BF40" s="183" t="s">
        <v>34</v>
      </c>
      <c r="BG40" s="184"/>
      <c r="BH40" s="184"/>
      <c r="BI40" s="184"/>
      <c r="BJ40" s="184"/>
      <c r="BK40" s="184"/>
      <c r="BL40" s="184"/>
      <c r="BM40" s="185"/>
      <c r="BN40" s="183" t="s">
        <v>34</v>
      </c>
      <c r="BO40" s="184"/>
      <c r="BP40" s="184"/>
      <c r="BQ40" s="184"/>
      <c r="BR40" s="184"/>
      <c r="BS40" s="184"/>
      <c r="BT40" s="184"/>
      <c r="BU40" s="185"/>
      <c r="BV40" s="183" t="s">
        <v>34</v>
      </c>
      <c r="BW40" s="184"/>
      <c r="BX40" s="184"/>
      <c r="BY40" s="184"/>
      <c r="BZ40" s="184"/>
      <c r="CA40" s="184"/>
      <c r="CB40" s="184"/>
      <c r="CC40" s="185"/>
      <c r="CD40" s="183" t="s">
        <v>34</v>
      </c>
      <c r="CE40" s="184"/>
      <c r="CF40" s="184"/>
      <c r="CG40" s="184"/>
      <c r="CH40" s="184"/>
      <c r="CI40" s="184"/>
      <c r="CJ40" s="184"/>
      <c r="CK40" s="185"/>
      <c r="CL40" s="183" t="s">
        <v>34</v>
      </c>
      <c r="CM40" s="184"/>
      <c r="CN40" s="184"/>
      <c r="CO40" s="184"/>
      <c r="CP40" s="184"/>
      <c r="CQ40" s="184"/>
      <c r="CR40" s="184"/>
      <c r="CS40" s="185"/>
      <c r="CT40" s="183" t="s">
        <v>34</v>
      </c>
      <c r="CU40" s="184"/>
      <c r="CV40" s="184"/>
      <c r="CW40" s="184"/>
      <c r="CX40" s="184"/>
      <c r="CY40" s="184"/>
      <c r="CZ40" s="184"/>
      <c r="DA40" s="185"/>
    </row>
    <row r="41" spans="1:105">
      <c r="A41" s="172" t="s">
        <v>44</v>
      </c>
      <c r="B41" s="172"/>
      <c r="C41" s="172"/>
      <c r="D41" s="172"/>
      <c r="E41" s="172"/>
      <c r="F41" s="173" t="s">
        <v>45</v>
      </c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  <c r="AD41" s="173"/>
      <c r="AE41" s="173"/>
      <c r="AF41" s="173"/>
      <c r="AG41" s="194"/>
      <c r="AH41" s="183" t="s">
        <v>34</v>
      </c>
      <c r="AI41" s="184"/>
      <c r="AJ41" s="184"/>
      <c r="AK41" s="184"/>
      <c r="AL41" s="184"/>
      <c r="AM41" s="184"/>
      <c r="AN41" s="184"/>
      <c r="AO41" s="185"/>
      <c r="AP41" s="183" t="s">
        <v>34</v>
      </c>
      <c r="AQ41" s="184"/>
      <c r="AR41" s="184"/>
      <c r="AS41" s="184"/>
      <c r="AT41" s="184"/>
      <c r="AU41" s="184"/>
      <c r="AV41" s="184"/>
      <c r="AW41" s="185"/>
      <c r="AX41" s="183" t="s">
        <v>34</v>
      </c>
      <c r="AY41" s="184"/>
      <c r="AZ41" s="184"/>
      <c r="BA41" s="184"/>
      <c r="BB41" s="184"/>
      <c r="BC41" s="184"/>
      <c r="BD41" s="184"/>
      <c r="BE41" s="185"/>
      <c r="BF41" s="183" t="s">
        <v>34</v>
      </c>
      <c r="BG41" s="184"/>
      <c r="BH41" s="184"/>
      <c r="BI41" s="184"/>
      <c r="BJ41" s="184"/>
      <c r="BK41" s="184"/>
      <c r="BL41" s="184"/>
      <c r="BM41" s="185"/>
      <c r="BN41" s="183" t="s">
        <v>34</v>
      </c>
      <c r="BO41" s="184"/>
      <c r="BP41" s="184"/>
      <c r="BQ41" s="184"/>
      <c r="BR41" s="184"/>
      <c r="BS41" s="184"/>
      <c r="BT41" s="184"/>
      <c r="BU41" s="185"/>
      <c r="BV41" s="183" t="s">
        <v>34</v>
      </c>
      <c r="BW41" s="184"/>
      <c r="BX41" s="184"/>
      <c r="BY41" s="184"/>
      <c r="BZ41" s="184"/>
      <c r="CA41" s="184"/>
      <c r="CB41" s="184"/>
      <c r="CC41" s="185"/>
      <c r="CD41" s="183" t="s">
        <v>34</v>
      </c>
      <c r="CE41" s="184"/>
      <c r="CF41" s="184"/>
      <c r="CG41" s="184"/>
      <c r="CH41" s="184"/>
      <c r="CI41" s="184"/>
      <c r="CJ41" s="184"/>
      <c r="CK41" s="185"/>
      <c r="CL41" s="183" t="s">
        <v>34</v>
      </c>
      <c r="CM41" s="184"/>
      <c r="CN41" s="184"/>
      <c r="CO41" s="184"/>
      <c r="CP41" s="184"/>
      <c r="CQ41" s="184"/>
      <c r="CR41" s="184"/>
      <c r="CS41" s="185"/>
      <c r="CT41" s="183" t="s">
        <v>34</v>
      </c>
      <c r="CU41" s="184"/>
      <c r="CV41" s="184"/>
      <c r="CW41" s="184"/>
      <c r="CX41" s="184"/>
      <c r="CY41" s="184"/>
      <c r="CZ41" s="184"/>
      <c r="DA41" s="185"/>
    </row>
  </sheetData>
  <mergeCells count="274">
    <mergeCell ref="CL41:CS41"/>
    <mergeCell ref="CT41:DA41"/>
    <mergeCell ref="A41:E41"/>
    <mergeCell ref="F41:AG41"/>
    <mergeCell ref="AH41:AO41"/>
    <mergeCell ref="AP41:AW41"/>
    <mergeCell ref="AX41:BE41"/>
    <mergeCell ref="BF41:BM41"/>
    <mergeCell ref="BN41:BU41"/>
    <mergeCell ref="BV41:CC41"/>
    <mergeCell ref="CD41:CK41"/>
    <mergeCell ref="CL39:CS39"/>
    <mergeCell ref="CT39:DA39"/>
    <mergeCell ref="A40:E40"/>
    <mergeCell ref="F40:AG40"/>
    <mergeCell ref="AH40:AO40"/>
    <mergeCell ref="AP40:AW40"/>
    <mergeCell ref="AX40:BE40"/>
    <mergeCell ref="BF40:BM40"/>
    <mergeCell ref="BN40:BU40"/>
    <mergeCell ref="BV40:CC40"/>
    <mergeCell ref="CD40:CK40"/>
    <mergeCell ref="CL40:CS40"/>
    <mergeCell ref="CT40:DA40"/>
    <mergeCell ref="A39:E39"/>
    <mergeCell ref="F39:AG39"/>
    <mergeCell ref="AH39:AO39"/>
    <mergeCell ref="AP39:AW39"/>
    <mergeCell ref="AX39:BE39"/>
    <mergeCell ref="BF39:BM39"/>
    <mergeCell ref="BN39:BU39"/>
    <mergeCell ref="BV39:CC39"/>
    <mergeCell ref="CD39:CK39"/>
    <mergeCell ref="CL37:CS37"/>
    <mergeCell ref="CT37:DA37"/>
    <mergeCell ref="A38:E38"/>
    <mergeCell ref="F38:AG38"/>
    <mergeCell ref="AH38:AO38"/>
    <mergeCell ref="AP38:AW38"/>
    <mergeCell ref="AX38:BE38"/>
    <mergeCell ref="BF38:BM38"/>
    <mergeCell ref="BN38:BU38"/>
    <mergeCell ref="BV38:CC38"/>
    <mergeCell ref="CD38:CK38"/>
    <mergeCell ref="CL38:CS38"/>
    <mergeCell ref="CT38:DA38"/>
    <mergeCell ref="A37:E37"/>
    <mergeCell ref="F37:AG37"/>
    <mergeCell ref="AH37:AO37"/>
    <mergeCell ref="AP37:AW37"/>
    <mergeCell ref="AX37:BE37"/>
    <mergeCell ref="BF37:BM37"/>
    <mergeCell ref="BN37:BU37"/>
    <mergeCell ref="BV37:CC37"/>
    <mergeCell ref="CD37:CK37"/>
    <mergeCell ref="CL35:CS35"/>
    <mergeCell ref="CT35:DA35"/>
    <mergeCell ref="A36:E36"/>
    <mergeCell ref="F36:AG36"/>
    <mergeCell ref="AH36:AO36"/>
    <mergeCell ref="AP36:AW36"/>
    <mergeCell ref="AX36:BE36"/>
    <mergeCell ref="BF36:BM36"/>
    <mergeCell ref="BN36:BU36"/>
    <mergeCell ref="BV36:CC36"/>
    <mergeCell ref="CD36:CK36"/>
    <mergeCell ref="CL36:CS36"/>
    <mergeCell ref="CT36:DA36"/>
    <mergeCell ref="A35:E35"/>
    <mergeCell ref="F35:AG35"/>
    <mergeCell ref="AH35:AO35"/>
    <mergeCell ref="AP35:AW35"/>
    <mergeCell ref="AX35:BE35"/>
    <mergeCell ref="BF35:BM35"/>
    <mergeCell ref="BN35:BU35"/>
    <mergeCell ref="BV35:CC35"/>
    <mergeCell ref="CD35:CK35"/>
    <mergeCell ref="CL33:CS33"/>
    <mergeCell ref="CT33:DA33"/>
    <mergeCell ref="A34:E34"/>
    <mergeCell ref="F34:AG34"/>
    <mergeCell ref="AH34:AO34"/>
    <mergeCell ref="AP34:AW34"/>
    <mergeCell ref="AX34:BE34"/>
    <mergeCell ref="BF34:BM34"/>
    <mergeCell ref="BN34:BU34"/>
    <mergeCell ref="BV34:CC34"/>
    <mergeCell ref="CD34:CK34"/>
    <mergeCell ref="CL34:CS34"/>
    <mergeCell ref="CT34:DA34"/>
    <mergeCell ref="A33:E33"/>
    <mergeCell ref="F33:AG33"/>
    <mergeCell ref="AH33:AO33"/>
    <mergeCell ref="AP33:AW33"/>
    <mergeCell ref="AX33:BE33"/>
    <mergeCell ref="BF33:BM33"/>
    <mergeCell ref="BN33:BU33"/>
    <mergeCell ref="BV33:CC33"/>
    <mergeCell ref="CD33:CK33"/>
    <mergeCell ref="CL31:CS31"/>
    <mergeCell ref="CT31:DA31"/>
    <mergeCell ref="A32:E32"/>
    <mergeCell ref="F32:AG32"/>
    <mergeCell ref="AH32:AO32"/>
    <mergeCell ref="AP32:AW32"/>
    <mergeCell ref="AX32:BE32"/>
    <mergeCell ref="BF32:BM32"/>
    <mergeCell ref="BN32:BU32"/>
    <mergeCell ref="BV32:CC32"/>
    <mergeCell ref="CD32:CK32"/>
    <mergeCell ref="CL32:CS32"/>
    <mergeCell ref="CT32:DA32"/>
    <mergeCell ref="A31:E31"/>
    <mergeCell ref="F31:AG31"/>
    <mergeCell ref="AH31:AO31"/>
    <mergeCell ref="AP31:AW31"/>
    <mergeCell ref="AX31:BE31"/>
    <mergeCell ref="BF31:BM31"/>
    <mergeCell ref="BN31:BU31"/>
    <mergeCell ref="BV31:CC31"/>
    <mergeCell ref="CD31:CK31"/>
    <mergeCell ref="A29:AG30"/>
    <mergeCell ref="AH29:BE29"/>
    <mergeCell ref="BF29:CC29"/>
    <mergeCell ref="CD29:DA29"/>
    <mergeCell ref="AH30:AO30"/>
    <mergeCell ref="AP30:AW30"/>
    <mergeCell ref="AX30:BE30"/>
    <mergeCell ref="BF30:BM30"/>
    <mergeCell ref="BN30:BU30"/>
    <mergeCell ref="BV30:CC30"/>
    <mergeCell ref="CD30:CK30"/>
    <mergeCell ref="CL30:CS30"/>
    <mergeCell ref="CT30:DA30"/>
    <mergeCell ref="A25:DA25"/>
    <mergeCell ref="A26:DA26"/>
    <mergeCell ref="BF23:BM23"/>
    <mergeCell ref="BN23:BU23"/>
    <mergeCell ref="BV23:CC23"/>
    <mergeCell ref="CD23:CK23"/>
    <mergeCell ref="CL23:CS23"/>
    <mergeCell ref="CT23:DA23"/>
    <mergeCell ref="BN22:BU22"/>
    <mergeCell ref="BV22:CC22"/>
    <mergeCell ref="CD22:CK22"/>
    <mergeCell ref="CL22:CS22"/>
    <mergeCell ref="CT22:DA22"/>
    <mergeCell ref="A23:E23"/>
    <mergeCell ref="F23:AG23"/>
    <mergeCell ref="AH23:AO23"/>
    <mergeCell ref="AP23:AW23"/>
    <mergeCell ref="AX23:BE23"/>
    <mergeCell ref="A22:E22"/>
    <mergeCell ref="F22:AG22"/>
    <mergeCell ref="AH22:AO22"/>
    <mergeCell ref="AP22:AW22"/>
    <mergeCell ref="AX22:BE22"/>
    <mergeCell ref="BF22:BM22"/>
    <mergeCell ref="BF21:BM21"/>
    <mergeCell ref="BN21:BU21"/>
    <mergeCell ref="BV21:CC21"/>
    <mergeCell ref="CD21:CK21"/>
    <mergeCell ref="CL21:CS21"/>
    <mergeCell ref="CT21:DA21"/>
    <mergeCell ref="BN20:BU20"/>
    <mergeCell ref="BV20:CC20"/>
    <mergeCell ref="CD20:CK20"/>
    <mergeCell ref="CL20:CS20"/>
    <mergeCell ref="CT20:DA20"/>
    <mergeCell ref="BF20:BM20"/>
    <mergeCell ref="A21:E21"/>
    <mergeCell ref="F21:AG21"/>
    <mergeCell ref="AH21:AO21"/>
    <mergeCell ref="AP21:AW21"/>
    <mergeCell ref="AX21:BE21"/>
    <mergeCell ref="A20:E20"/>
    <mergeCell ref="F20:AG20"/>
    <mergeCell ref="AH20:AO20"/>
    <mergeCell ref="AP20:AW20"/>
    <mergeCell ref="AX20:BE20"/>
    <mergeCell ref="BF19:BM19"/>
    <mergeCell ref="BN19:BU19"/>
    <mergeCell ref="BV19:CC19"/>
    <mergeCell ref="CD19:CK19"/>
    <mergeCell ref="CL19:CS19"/>
    <mergeCell ref="CT19:DA19"/>
    <mergeCell ref="BN18:BU18"/>
    <mergeCell ref="BV18:CC18"/>
    <mergeCell ref="CD18:CK18"/>
    <mergeCell ref="CL18:CS18"/>
    <mergeCell ref="CT18:DA18"/>
    <mergeCell ref="BF18:BM18"/>
    <mergeCell ref="A19:E19"/>
    <mergeCell ref="F19:AG19"/>
    <mergeCell ref="AH19:AO19"/>
    <mergeCell ref="AP19:AW19"/>
    <mergeCell ref="AX19:BE19"/>
    <mergeCell ref="A18:E18"/>
    <mergeCell ref="F18:AG18"/>
    <mergeCell ref="AH18:AO18"/>
    <mergeCell ref="AP18:AW18"/>
    <mergeCell ref="AX18:BE18"/>
    <mergeCell ref="BV17:CC17"/>
    <mergeCell ref="CD17:CK17"/>
    <mergeCell ref="CL17:CS17"/>
    <mergeCell ref="CT17:DA17"/>
    <mergeCell ref="BN16:BU16"/>
    <mergeCell ref="BV16:CC16"/>
    <mergeCell ref="CD16:CK16"/>
    <mergeCell ref="CL16:CS16"/>
    <mergeCell ref="CT16:DA16"/>
    <mergeCell ref="BV15:CC15"/>
    <mergeCell ref="CD15:CK15"/>
    <mergeCell ref="CL15:CS15"/>
    <mergeCell ref="CT15:DA15"/>
    <mergeCell ref="A16:E16"/>
    <mergeCell ref="F16:AG16"/>
    <mergeCell ref="AH16:AO16"/>
    <mergeCell ref="AP16:AW16"/>
    <mergeCell ref="AX16:BE16"/>
    <mergeCell ref="BF16:BM16"/>
    <mergeCell ref="A15:E15"/>
    <mergeCell ref="F15:AG15"/>
    <mergeCell ref="AH15:AO15"/>
    <mergeCell ref="AP15:AW15"/>
    <mergeCell ref="AX15:BE15"/>
    <mergeCell ref="BF15:BM15"/>
    <mergeCell ref="BN15:BU15"/>
    <mergeCell ref="A17:E17"/>
    <mergeCell ref="F17:AG17"/>
    <mergeCell ref="AH17:AO17"/>
    <mergeCell ref="AP17:AW17"/>
    <mergeCell ref="AX17:BE17"/>
    <mergeCell ref="BF17:BM17"/>
    <mergeCell ref="BN17:BU17"/>
    <mergeCell ref="CL13:CS13"/>
    <mergeCell ref="CT13:DA13"/>
    <mergeCell ref="A14:E14"/>
    <mergeCell ref="F14:AG14"/>
    <mergeCell ref="AH14:AO14"/>
    <mergeCell ref="AP14:AW14"/>
    <mergeCell ref="AX14:BE14"/>
    <mergeCell ref="BF14:BM14"/>
    <mergeCell ref="BN14:BU14"/>
    <mergeCell ref="BV14:CC14"/>
    <mergeCell ref="CD14:CK14"/>
    <mergeCell ref="CL14:CS14"/>
    <mergeCell ref="CT14:DA14"/>
    <mergeCell ref="A13:E13"/>
    <mergeCell ref="F13:AG13"/>
    <mergeCell ref="AH13:AO13"/>
    <mergeCell ref="AP13:AW13"/>
    <mergeCell ref="AX13:BE13"/>
    <mergeCell ref="BF13:BM13"/>
    <mergeCell ref="BN13:BU13"/>
    <mergeCell ref="BV13:CC13"/>
    <mergeCell ref="CD13:CK13"/>
    <mergeCell ref="BQ2:DA2"/>
    <mergeCell ref="BQ4:DA4"/>
    <mergeCell ref="A7:DA7"/>
    <mergeCell ref="A9:DA9"/>
    <mergeCell ref="A11:AG12"/>
    <mergeCell ref="AH11:BE11"/>
    <mergeCell ref="BF11:CC11"/>
    <mergeCell ref="CD11:DA11"/>
    <mergeCell ref="AH12:AO12"/>
    <mergeCell ref="AP12:AW12"/>
    <mergeCell ref="CT12:DA12"/>
    <mergeCell ref="AX12:BE12"/>
    <mergeCell ref="BF12:BM12"/>
    <mergeCell ref="BN12:BU12"/>
    <mergeCell ref="BV12:CC12"/>
    <mergeCell ref="CD12:CK12"/>
    <mergeCell ref="CL12:CS12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7"/>
  <sheetViews>
    <sheetView view="pageBreakPreview" zoomScaleNormal="100" zoomScaleSheetLayoutView="100" workbookViewId="0">
      <selection activeCell="EJ11" sqref="EJ11"/>
    </sheetView>
  </sheetViews>
  <sheetFormatPr defaultColWidth="0.88671875" defaultRowHeight="15.6"/>
  <cols>
    <col min="1" max="69" width="0.88671875" style="6"/>
    <col min="70" max="70" width="0.88671875" style="6" customWidth="1"/>
    <col min="71" max="73" width="0.88671875" style="6"/>
    <col min="74" max="74" width="0.88671875" style="6" customWidth="1"/>
    <col min="75" max="86" width="0.88671875" style="6"/>
    <col min="87" max="88" width="0.88671875" style="6" customWidth="1"/>
    <col min="89" max="325" width="0.88671875" style="6"/>
    <col min="326" max="326" width="0.88671875" style="6" customWidth="1"/>
    <col min="327" max="329" width="0.88671875" style="6"/>
    <col min="330" max="330" width="0.88671875" style="6" customWidth="1"/>
    <col min="331" max="342" width="0.88671875" style="6"/>
    <col min="343" max="344" width="0.88671875" style="6" customWidth="1"/>
    <col min="345" max="581" width="0.88671875" style="6"/>
    <col min="582" max="582" width="0.88671875" style="6" customWidth="1"/>
    <col min="583" max="585" width="0.88671875" style="6"/>
    <col min="586" max="586" width="0.88671875" style="6" customWidth="1"/>
    <col min="587" max="598" width="0.88671875" style="6"/>
    <col min="599" max="600" width="0.88671875" style="6" customWidth="1"/>
    <col min="601" max="837" width="0.88671875" style="6"/>
    <col min="838" max="838" width="0.88671875" style="6" customWidth="1"/>
    <col min="839" max="841" width="0.88671875" style="6"/>
    <col min="842" max="842" width="0.88671875" style="6" customWidth="1"/>
    <col min="843" max="854" width="0.88671875" style="6"/>
    <col min="855" max="856" width="0.88671875" style="6" customWidth="1"/>
    <col min="857" max="1093" width="0.88671875" style="6"/>
    <col min="1094" max="1094" width="0.88671875" style="6" customWidth="1"/>
    <col min="1095" max="1097" width="0.88671875" style="6"/>
    <col min="1098" max="1098" width="0.88671875" style="6" customWidth="1"/>
    <col min="1099" max="1110" width="0.88671875" style="6"/>
    <col min="1111" max="1112" width="0.88671875" style="6" customWidth="1"/>
    <col min="1113" max="1349" width="0.88671875" style="6"/>
    <col min="1350" max="1350" width="0.88671875" style="6" customWidth="1"/>
    <col min="1351" max="1353" width="0.88671875" style="6"/>
    <col min="1354" max="1354" width="0.88671875" style="6" customWidth="1"/>
    <col min="1355" max="1366" width="0.88671875" style="6"/>
    <col min="1367" max="1368" width="0.88671875" style="6" customWidth="1"/>
    <col min="1369" max="1605" width="0.88671875" style="6"/>
    <col min="1606" max="1606" width="0.88671875" style="6" customWidth="1"/>
    <col min="1607" max="1609" width="0.88671875" style="6"/>
    <col min="1610" max="1610" width="0.88671875" style="6" customWidth="1"/>
    <col min="1611" max="1622" width="0.88671875" style="6"/>
    <col min="1623" max="1624" width="0.88671875" style="6" customWidth="1"/>
    <col min="1625" max="1861" width="0.88671875" style="6"/>
    <col min="1862" max="1862" width="0.88671875" style="6" customWidth="1"/>
    <col min="1863" max="1865" width="0.88671875" style="6"/>
    <col min="1866" max="1866" width="0.88671875" style="6" customWidth="1"/>
    <col min="1867" max="1878" width="0.88671875" style="6"/>
    <col min="1879" max="1880" width="0.88671875" style="6" customWidth="1"/>
    <col min="1881" max="2117" width="0.88671875" style="6"/>
    <col min="2118" max="2118" width="0.88671875" style="6" customWidth="1"/>
    <col min="2119" max="2121" width="0.88671875" style="6"/>
    <col min="2122" max="2122" width="0.88671875" style="6" customWidth="1"/>
    <col min="2123" max="2134" width="0.88671875" style="6"/>
    <col min="2135" max="2136" width="0.88671875" style="6" customWidth="1"/>
    <col min="2137" max="2373" width="0.88671875" style="6"/>
    <col min="2374" max="2374" width="0.88671875" style="6" customWidth="1"/>
    <col min="2375" max="2377" width="0.88671875" style="6"/>
    <col min="2378" max="2378" width="0.88671875" style="6" customWidth="1"/>
    <col min="2379" max="2390" width="0.88671875" style="6"/>
    <col min="2391" max="2392" width="0.88671875" style="6" customWidth="1"/>
    <col min="2393" max="2629" width="0.88671875" style="6"/>
    <col min="2630" max="2630" width="0.88671875" style="6" customWidth="1"/>
    <col min="2631" max="2633" width="0.88671875" style="6"/>
    <col min="2634" max="2634" width="0.88671875" style="6" customWidth="1"/>
    <col min="2635" max="2646" width="0.88671875" style="6"/>
    <col min="2647" max="2648" width="0.88671875" style="6" customWidth="1"/>
    <col min="2649" max="2885" width="0.88671875" style="6"/>
    <col min="2886" max="2886" width="0.88671875" style="6" customWidth="1"/>
    <col min="2887" max="2889" width="0.88671875" style="6"/>
    <col min="2890" max="2890" width="0.88671875" style="6" customWidth="1"/>
    <col min="2891" max="2902" width="0.88671875" style="6"/>
    <col min="2903" max="2904" width="0.88671875" style="6" customWidth="1"/>
    <col min="2905" max="3141" width="0.88671875" style="6"/>
    <col min="3142" max="3142" width="0.88671875" style="6" customWidth="1"/>
    <col min="3143" max="3145" width="0.88671875" style="6"/>
    <col min="3146" max="3146" width="0.88671875" style="6" customWidth="1"/>
    <col min="3147" max="3158" width="0.88671875" style="6"/>
    <col min="3159" max="3160" width="0.88671875" style="6" customWidth="1"/>
    <col min="3161" max="3397" width="0.88671875" style="6"/>
    <col min="3398" max="3398" width="0.88671875" style="6" customWidth="1"/>
    <col min="3399" max="3401" width="0.88671875" style="6"/>
    <col min="3402" max="3402" width="0.88671875" style="6" customWidth="1"/>
    <col min="3403" max="3414" width="0.88671875" style="6"/>
    <col min="3415" max="3416" width="0.88671875" style="6" customWidth="1"/>
    <col min="3417" max="3653" width="0.88671875" style="6"/>
    <col min="3654" max="3654" width="0.88671875" style="6" customWidth="1"/>
    <col min="3655" max="3657" width="0.88671875" style="6"/>
    <col min="3658" max="3658" width="0.88671875" style="6" customWidth="1"/>
    <col min="3659" max="3670" width="0.88671875" style="6"/>
    <col min="3671" max="3672" width="0.88671875" style="6" customWidth="1"/>
    <col min="3673" max="3909" width="0.88671875" style="6"/>
    <col min="3910" max="3910" width="0.88671875" style="6" customWidth="1"/>
    <col min="3911" max="3913" width="0.88671875" style="6"/>
    <col min="3914" max="3914" width="0.88671875" style="6" customWidth="1"/>
    <col min="3915" max="3926" width="0.88671875" style="6"/>
    <col min="3927" max="3928" width="0.88671875" style="6" customWidth="1"/>
    <col min="3929" max="4165" width="0.88671875" style="6"/>
    <col min="4166" max="4166" width="0.88671875" style="6" customWidth="1"/>
    <col min="4167" max="4169" width="0.88671875" style="6"/>
    <col min="4170" max="4170" width="0.88671875" style="6" customWidth="1"/>
    <col min="4171" max="4182" width="0.88671875" style="6"/>
    <col min="4183" max="4184" width="0.88671875" style="6" customWidth="1"/>
    <col min="4185" max="4421" width="0.88671875" style="6"/>
    <col min="4422" max="4422" width="0.88671875" style="6" customWidth="1"/>
    <col min="4423" max="4425" width="0.88671875" style="6"/>
    <col min="4426" max="4426" width="0.88671875" style="6" customWidth="1"/>
    <col min="4427" max="4438" width="0.88671875" style="6"/>
    <col min="4439" max="4440" width="0.88671875" style="6" customWidth="1"/>
    <col min="4441" max="4677" width="0.88671875" style="6"/>
    <col min="4678" max="4678" width="0.88671875" style="6" customWidth="1"/>
    <col min="4679" max="4681" width="0.88671875" style="6"/>
    <col min="4682" max="4682" width="0.88671875" style="6" customWidth="1"/>
    <col min="4683" max="4694" width="0.88671875" style="6"/>
    <col min="4695" max="4696" width="0.88671875" style="6" customWidth="1"/>
    <col min="4697" max="4933" width="0.88671875" style="6"/>
    <col min="4934" max="4934" width="0.88671875" style="6" customWidth="1"/>
    <col min="4935" max="4937" width="0.88671875" style="6"/>
    <col min="4938" max="4938" width="0.88671875" style="6" customWidth="1"/>
    <col min="4939" max="4950" width="0.88671875" style="6"/>
    <col min="4951" max="4952" width="0.88671875" style="6" customWidth="1"/>
    <col min="4953" max="5189" width="0.88671875" style="6"/>
    <col min="5190" max="5190" width="0.88671875" style="6" customWidth="1"/>
    <col min="5191" max="5193" width="0.88671875" style="6"/>
    <col min="5194" max="5194" width="0.88671875" style="6" customWidth="1"/>
    <col min="5195" max="5206" width="0.88671875" style="6"/>
    <col min="5207" max="5208" width="0.88671875" style="6" customWidth="1"/>
    <col min="5209" max="5445" width="0.88671875" style="6"/>
    <col min="5446" max="5446" width="0.88671875" style="6" customWidth="1"/>
    <col min="5447" max="5449" width="0.88671875" style="6"/>
    <col min="5450" max="5450" width="0.88671875" style="6" customWidth="1"/>
    <col min="5451" max="5462" width="0.88671875" style="6"/>
    <col min="5463" max="5464" width="0.88671875" style="6" customWidth="1"/>
    <col min="5465" max="5701" width="0.88671875" style="6"/>
    <col min="5702" max="5702" width="0.88671875" style="6" customWidth="1"/>
    <col min="5703" max="5705" width="0.88671875" style="6"/>
    <col min="5706" max="5706" width="0.88671875" style="6" customWidth="1"/>
    <col min="5707" max="5718" width="0.88671875" style="6"/>
    <col min="5719" max="5720" width="0.88671875" style="6" customWidth="1"/>
    <col min="5721" max="5957" width="0.88671875" style="6"/>
    <col min="5958" max="5958" width="0.88671875" style="6" customWidth="1"/>
    <col min="5959" max="5961" width="0.88671875" style="6"/>
    <col min="5962" max="5962" width="0.88671875" style="6" customWidth="1"/>
    <col min="5963" max="5974" width="0.88671875" style="6"/>
    <col min="5975" max="5976" width="0.88671875" style="6" customWidth="1"/>
    <col min="5977" max="6213" width="0.88671875" style="6"/>
    <col min="6214" max="6214" width="0.88671875" style="6" customWidth="1"/>
    <col min="6215" max="6217" width="0.88671875" style="6"/>
    <col min="6218" max="6218" width="0.88671875" style="6" customWidth="1"/>
    <col min="6219" max="6230" width="0.88671875" style="6"/>
    <col min="6231" max="6232" width="0.88671875" style="6" customWidth="1"/>
    <col min="6233" max="6469" width="0.88671875" style="6"/>
    <col min="6470" max="6470" width="0.88671875" style="6" customWidth="1"/>
    <col min="6471" max="6473" width="0.88671875" style="6"/>
    <col min="6474" max="6474" width="0.88671875" style="6" customWidth="1"/>
    <col min="6475" max="6486" width="0.88671875" style="6"/>
    <col min="6487" max="6488" width="0.88671875" style="6" customWidth="1"/>
    <col min="6489" max="6725" width="0.88671875" style="6"/>
    <col min="6726" max="6726" width="0.88671875" style="6" customWidth="1"/>
    <col min="6727" max="6729" width="0.88671875" style="6"/>
    <col min="6730" max="6730" width="0.88671875" style="6" customWidth="1"/>
    <col min="6731" max="6742" width="0.88671875" style="6"/>
    <col min="6743" max="6744" width="0.88671875" style="6" customWidth="1"/>
    <col min="6745" max="6981" width="0.88671875" style="6"/>
    <col min="6982" max="6982" width="0.88671875" style="6" customWidth="1"/>
    <col min="6983" max="6985" width="0.88671875" style="6"/>
    <col min="6986" max="6986" width="0.88671875" style="6" customWidth="1"/>
    <col min="6987" max="6998" width="0.88671875" style="6"/>
    <col min="6999" max="7000" width="0.88671875" style="6" customWidth="1"/>
    <col min="7001" max="7237" width="0.88671875" style="6"/>
    <col min="7238" max="7238" width="0.88671875" style="6" customWidth="1"/>
    <col min="7239" max="7241" width="0.88671875" style="6"/>
    <col min="7242" max="7242" width="0.88671875" style="6" customWidth="1"/>
    <col min="7243" max="7254" width="0.88671875" style="6"/>
    <col min="7255" max="7256" width="0.88671875" style="6" customWidth="1"/>
    <col min="7257" max="7493" width="0.88671875" style="6"/>
    <col min="7494" max="7494" width="0.88671875" style="6" customWidth="1"/>
    <col min="7495" max="7497" width="0.88671875" style="6"/>
    <col min="7498" max="7498" width="0.88671875" style="6" customWidth="1"/>
    <col min="7499" max="7510" width="0.88671875" style="6"/>
    <col min="7511" max="7512" width="0.88671875" style="6" customWidth="1"/>
    <col min="7513" max="7749" width="0.88671875" style="6"/>
    <col min="7750" max="7750" width="0.88671875" style="6" customWidth="1"/>
    <col min="7751" max="7753" width="0.88671875" style="6"/>
    <col min="7754" max="7754" width="0.88671875" style="6" customWidth="1"/>
    <col min="7755" max="7766" width="0.88671875" style="6"/>
    <col min="7767" max="7768" width="0.88671875" style="6" customWidth="1"/>
    <col min="7769" max="8005" width="0.88671875" style="6"/>
    <col min="8006" max="8006" width="0.88671875" style="6" customWidth="1"/>
    <col min="8007" max="8009" width="0.88671875" style="6"/>
    <col min="8010" max="8010" width="0.88671875" style="6" customWidth="1"/>
    <col min="8011" max="8022" width="0.88671875" style="6"/>
    <col min="8023" max="8024" width="0.88671875" style="6" customWidth="1"/>
    <col min="8025" max="8261" width="0.88671875" style="6"/>
    <col min="8262" max="8262" width="0.88671875" style="6" customWidth="1"/>
    <col min="8263" max="8265" width="0.88671875" style="6"/>
    <col min="8266" max="8266" width="0.88671875" style="6" customWidth="1"/>
    <col min="8267" max="8278" width="0.88671875" style="6"/>
    <col min="8279" max="8280" width="0.88671875" style="6" customWidth="1"/>
    <col min="8281" max="8517" width="0.88671875" style="6"/>
    <col min="8518" max="8518" width="0.88671875" style="6" customWidth="1"/>
    <col min="8519" max="8521" width="0.88671875" style="6"/>
    <col min="8522" max="8522" width="0.88671875" style="6" customWidth="1"/>
    <col min="8523" max="8534" width="0.88671875" style="6"/>
    <col min="8535" max="8536" width="0.88671875" style="6" customWidth="1"/>
    <col min="8537" max="8773" width="0.88671875" style="6"/>
    <col min="8774" max="8774" width="0.88671875" style="6" customWidth="1"/>
    <col min="8775" max="8777" width="0.88671875" style="6"/>
    <col min="8778" max="8778" width="0.88671875" style="6" customWidth="1"/>
    <col min="8779" max="8790" width="0.88671875" style="6"/>
    <col min="8791" max="8792" width="0.88671875" style="6" customWidth="1"/>
    <col min="8793" max="9029" width="0.88671875" style="6"/>
    <col min="9030" max="9030" width="0.88671875" style="6" customWidth="1"/>
    <col min="9031" max="9033" width="0.88671875" style="6"/>
    <col min="9034" max="9034" width="0.88671875" style="6" customWidth="1"/>
    <col min="9035" max="9046" width="0.88671875" style="6"/>
    <col min="9047" max="9048" width="0.88671875" style="6" customWidth="1"/>
    <col min="9049" max="9285" width="0.88671875" style="6"/>
    <col min="9286" max="9286" width="0.88671875" style="6" customWidth="1"/>
    <col min="9287" max="9289" width="0.88671875" style="6"/>
    <col min="9290" max="9290" width="0.88671875" style="6" customWidth="1"/>
    <col min="9291" max="9302" width="0.88671875" style="6"/>
    <col min="9303" max="9304" width="0.88671875" style="6" customWidth="1"/>
    <col min="9305" max="9541" width="0.88671875" style="6"/>
    <col min="9542" max="9542" width="0.88671875" style="6" customWidth="1"/>
    <col min="9543" max="9545" width="0.88671875" style="6"/>
    <col min="9546" max="9546" width="0.88671875" style="6" customWidth="1"/>
    <col min="9547" max="9558" width="0.88671875" style="6"/>
    <col min="9559" max="9560" width="0.88671875" style="6" customWidth="1"/>
    <col min="9561" max="9797" width="0.88671875" style="6"/>
    <col min="9798" max="9798" width="0.88671875" style="6" customWidth="1"/>
    <col min="9799" max="9801" width="0.88671875" style="6"/>
    <col min="9802" max="9802" width="0.88671875" style="6" customWidth="1"/>
    <col min="9803" max="9814" width="0.88671875" style="6"/>
    <col min="9815" max="9816" width="0.88671875" style="6" customWidth="1"/>
    <col min="9817" max="10053" width="0.88671875" style="6"/>
    <col min="10054" max="10054" width="0.88671875" style="6" customWidth="1"/>
    <col min="10055" max="10057" width="0.88671875" style="6"/>
    <col min="10058" max="10058" width="0.88671875" style="6" customWidth="1"/>
    <col min="10059" max="10070" width="0.88671875" style="6"/>
    <col min="10071" max="10072" width="0.88671875" style="6" customWidth="1"/>
    <col min="10073" max="10309" width="0.88671875" style="6"/>
    <col min="10310" max="10310" width="0.88671875" style="6" customWidth="1"/>
    <col min="10311" max="10313" width="0.88671875" style="6"/>
    <col min="10314" max="10314" width="0.88671875" style="6" customWidth="1"/>
    <col min="10315" max="10326" width="0.88671875" style="6"/>
    <col min="10327" max="10328" width="0.88671875" style="6" customWidth="1"/>
    <col min="10329" max="10565" width="0.88671875" style="6"/>
    <col min="10566" max="10566" width="0.88671875" style="6" customWidth="1"/>
    <col min="10567" max="10569" width="0.88671875" style="6"/>
    <col min="10570" max="10570" width="0.88671875" style="6" customWidth="1"/>
    <col min="10571" max="10582" width="0.88671875" style="6"/>
    <col min="10583" max="10584" width="0.88671875" style="6" customWidth="1"/>
    <col min="10585" max="10821" width="0.88671875" style="6"/>
    <col min="10822" max="10822" width="0.88671875" style="6" customWidth="1"/>
    <col min="10823" max="10825" width="0.88671875" style="6"/>
    <col min="10826" max="10826" width="0.88671875" style="6" customWidth="1"/>
    <col min="10827" max="10838" width="0.88671875" style="6"/>
    <col min="10839" max="10840" width="0.88671875" style="6" customWidth="1"/>
    <col min="10841" max="11077" width="0.88671875" style="6"/>
    <col min="11078" max="11078" width="0.88671875" style="6" customWidth="1"/>
    <col min="11079" max="11081" width="0.88671875" style="6"/>
    <col min="11082" max="11082" width="0.88671875" style="6" customWidth="1"/>
    <col min="11083" max="11094" width="0.88671875" style="6"/>
    <col min="11095" max="11096" width="0.88671875" style="6" customWidth="1"/>
    <col min="11097" max="11333" width="0.88671875" style="6"/>
    <col min="11334" max="11334" width="0.88671875" style="6" customWidth="1"/>
    <col min="11335" max="11337" width="0.88671875" style="6"/>
    <col min="11338" max="11338" width="0.88671875" style="6" customWidth="1"/>
    <col min="11339" max="11350" width="0.88671875" style="6"/>
    <col min="11351" max="11352" width="0.88671875" style="6" customWidth="1"/>
    <col min="11353" max="11589" width="0.88671875" style="6"/>
    <col min="11590" max="11590" width="0.88671875" style="6" customWidth="1"/>
    <col min="11591" max="11593" width="0.88671875" style="6"/>
    <col min="11594" max="11594" width="0.88671875" style="6" customWidth="1"/>
    <col min="11595" max="11606" width="0.88671875" style="6"/>
    <col min="11607" max="11608" width="0.88671875" style="6" customWidth="1"/>
    <col min="11609" max="11845" width="0.88671875" style="6"/>
    <col min="11846" max="11846" width="0.88671875" style="6" customWidth="1"/>
    <col min="11847" max="11849" width="0.88671875" style="6"/>
    <col min="11850" max="11850" width="0.88671875" style="6" customWidth="1"/>
    <col min="11851" max="11862" width="0.88671875" style="6"/>
    <col min="11863" max="11864" width="0.88671875" style="6" customWidth="1"/>
    <col min="11865" max="12101" width="0.88671875" style="6"/>
    <col min="12102" max="12102" width="0.88671875" style="6" customWidth="1"/>
    <col min="12103" max="12105" width="0.88671875" style="6"/>
    <col min="12106" max="12106" width="0.88671875" style="6" customWidth="1"/>
    <col min="12107" max="12118" width="0.88671875" style="6"/>
    <col min="12119" max="12120" width="0.88671875" style="6" customWidth="1"/>
    <col min="12121" max="12357" width="0.88671875" style="6"/>
    <col min="12358" max="12358" width="0.88671875" style="6" customWidth="1"/>
    <col min="12359" max="12361" width="0.88671875" style="6"/>
    <col min="12362" max="12362" width="0.88671875" style="6" customWidth="1"/>
    <col min="12363" max="12374" width="0.88671875" style="6"/>
    <col min="12375" max="12376" width="0.88671875" style="6" customWidth="1"/>
    <col min="12377" max="12613" width="0.88671875" style="6"/>
    <col min="12614" max="12614" width="0.88671875" style="6" customWidth="1"/>
    <col min="12615" max="12617" width="0.88671875" style="6"/>
    <col min="12618" max="12618" width="0.88671875" style="6" customWidth="1"/>
    <col min="12619" max="12630" width="0.88671875" style="6"/>
    <col min="12631" max="12632" width="0.88671875" style="6" customWidth="1"/>
    <col min="12633" max="12869" width="0.88671875" style="6"/>
    <col min="12870" max="12870" width="0.88671875" style="6" customWidth="1"/>
    <col min="12871" max="12873" width="0.88671875" style="6"/>
    <col min="12874" max="12874" width="0.88671875" style="6" customWidth="1"/>
    <col min="12875" max="12886" width="0.88671875" style="6"/>
    <col min="12887" max="12888" width="0.88671875" style="6" customWidth="1"/>
    <col min="12889" max="13125" width="0.88671875" style="6"/>
    <col min="13126" max="13126" width="0.88671875" style="6" customWidth="1"/>
    <col min="13127" max="13129" width="0.88671875" style="6"/>
    <col min="13130" max="13130" width="0.88671875" style="6" customWidth="1"/>
    <col min="13131" max="13142" width="0.88671875" style="6"/>
    <col min="13143" max="13144" width="0.88671875" style="6" customWidth="1"/>
    <col min="13145" max="13381" width="0.88671875" style="6"/>
    <col min="13382" max="13382" width="0.88671875" style="6" customWidth="1"/>
    <col min="13383" max="13385" width="0.88671875" style="6"/>
    <col min="13386" max="13386" width="0.88671875" style="6" customWidth="1"/>
    <col min="13387" max="13398" width="0.88671875" style="6"/>
    <col min="13399" max="13400" width="0.88671875" style="6" customWidth="1"/>
    <col min="13401" max="13637" width="0.88671875" style="6"/>
    <col min="13638" max="13638" width="0.88671875" style="6" customWidth="1"/>
    <col min="13639" max="13641" width="0.88671875" style="6"/>
    <col min="13642" max="13642" width="0.88671875" style="6" customWidth="1"/>
    <col min="13643" max="13654" width="0.88671875" style="6"/>
    <col min="13655" max="13656" width="0.88671875" style="6" customWidth="1"/>
    <col min="13657" max="13893" width="0.88671875" style="6"/>
    <col min="13894" max="13894" width="0.88671875" style="6" customWidth="1"/>
    <col min="13895" max="13897" width="0.88671875" style="6"/>
    <col min="13898" max="13898" width="0.88671875" style="6" customWidth="1"/>
    <col min="13899" max="13910" width="0.88671875" style="6"/>
    <col min="13911" max="13912" width="0.88671875" style="6" customWidth="1"/>
    <col min="13913" max="14149" width="0.88671875" style="6"/>
    <col min="14150" max="14150" width="0.88671875" style="6" customWidth="1"/>
    <col min="14151" max="14153" width="0.88671875" style="6"/>
    <col min="14154" max="14154" width="0.88671875" style="6" customWidth="1"/>
    <col min="14155" max="14166" width="0.88671875" style="6"/>
    <col min="14167" max="14168" width="0.88671875" style="6" customWidth="1"/>
    <col min="14169" max="14405" width="0.88671875" style="6"/>
    <col min="14406" max="14406" width="0.88671875" style="6" customWidth="1"/>
    <col min="14407" max="14409" width="0.88671875" style="6"/>
    <col min="14410" max="14410" width="0.88671875" style="6" customWidth="1"/>
    <col min="14411" max="14422" width="0.88671875" style="6"/>
    <col min="14423" max="14424" width="0.88671875" style="6" customWidth="1"/>
    <col min="14425" max="14661" width="0.88671875" style="6"/>
    <col min="14662" max="14662" width="0.88671875" style="6" customWidth="1"/>
    <col min="14663" max="14665" width="0.88671875" style="6"/>
    <col min="14666" max="14666" width="0.88671875" style="6" customWidth="1"/>
    <col min="14667" max="14678" width="0.88671875" style="6"/>
    <col min="14679" max="14680" width="0.88671875" style="6" customWidth="1"/>
    <col min="14681" max="14917" width="0.88671875" style="6"/>
    <col min="14918" max="14918" width="0.88671875" style="6" customWidth="1"/>
    <col min="14919" max="14921" width="0.88671875" style="6"/>
    <col min="14922" max="14922" width="0.88671875" style="6" customWidth="1"/>
    <col min="14923" max="14934" width="0.88671875" style="6"/>
    <col min="14935" max="14936" width="0.88671875" style="6" customWidth="1"/>
    <col min="14937" max="15173" width="0.88671875" style="6"/>
    <col min="15174" max="15174" width="0.88671875" style="6" customWidth="1"/>
    <col min="15175" max="15177" width="0.88671875" style="6"/>
    <col min="15178" max="15178" width="0.88671875" style="6" customWidth="1"/>
    <col min="15179" max="15190" width="0.88671875" style="6"/>
    <col min="15191" max="15192" width="0.88671875" style="6" customWidth="1"/>
    <col min="15193" max="15429" width="0.88671875" style="6"/>
    <col min="15430" max="15430" width="0.88671875" style="6" customWidth="1"/>
    <col min="15431" max="15433" width="0.88671875" style="6"/>
    <col min="15434" max="15434" width="0.88671875" style="6" customWidth="1"/>
    <col min="15435" max="15446" width="0.88671875" style="6"/>
    <col min="15447" max="15448" width="0.88671875" style="6" customWidth="1"/>
    <col min="15449" max="15685" width="0.88671875" style="6"/>
    <col min="15686" max="15686" width="0.88671875" style="6" customWidth="1"/>
    <col min="15687" max="15689" width="0.88671875" style="6"/>
    <col min="15690" max="15690" width="0.88671875" style="6" customWidth="1"/>
    <col min="15691" max="15702" width="0.88671875" style="6"/>
    <col min="15703" max="15704" width="0.88671875" style="6" customWidth="1"/>
    <col min="15705" max="15941" width="0.88671875" style="6"/>
    <col min="15942" max="15942" width="0.88671875" style="6" customWidth="1"/>
    <col min="15943" max="15945" width="0.88671875" style="6"/>
    <col min="15946" max="15946" width="0.88671875" style="6" customWidth="1"/>
    <col min="15947" max="15958" width="0.88671875" style="6"/>
    <col min="15959" max="15960" width="0.88671875" style="6" customWidth="1"/>
    <col min="15961" max="16197" width="0.88671875" style="6"/>
    <col min="16198" max="16198" width="0.88671875" style="6" customWidth="1"/>
    <col min="16199" max="16201" width="0.88671875" style="6"/>
    <col min="16202" max="16202" width="0.88671875" style="6" customWidth="1"/>
    <col min="16203" max="16214" width="0.88671875" style="6"/>
    <col min="16215" max="16216" width="0.88671875" style="6" customWidth="1"/>
    <col min="16217" max="16384" width="0.88671875" style="6"/>
  </cols>
  <sheetData>
    <row r="1" spans="1:105" s="5" customFormat="1" ht="13.2">
      <c r="BQ1" s="5" t="s">
        <v>48</v>
      </c>
    </row>
    <row r="2" spans="1:105" s="5" customFormat="1" ht="39.75" customHeight="1">
      <c r="BQ2" s="163" t="s">
        <v>5</v>
      </c>
      <c r="BR2" s="163"/>
      <c r="BS2" s="163"/>
      <c r="BT2" s="163"/>
      <c r="BU2" s="163"/>
      <c r="BV2" s="163"/>
      <c r="BW2" s="163"/>
      <c r="BX2" s="163"/>
      <c r="BY2" s="163"/>
      <c r="BZ2" s="163"/>
      <c r="CA2" s="163"/>
      <c r="CB2" s="163"/>
      <c r="CC2" s="163"/>
      <c r="CD2" s="163"/>
      <c r="CE2" s="163"/>
      <c r="CF2" s="163"/>
      <c r="CG2" s="163"/>
      <c r="CH2" s="163"/>
      <c r="CI2" s="163"/>
      <c r="CJ2" s="163"/>
      <c r="CK2" s="163"/>
      <c r="CL2" s="163"/>
      <c r="CM2" s="163"/>
      <c r="CN2" s="163"/>
      <c r="CO2" s="163"/>
      <c r="CP2" s="163"/>
      <c r="CQ2" s="163"/>
      <c r="CR2" s="163"/>
      <c r="CS2" s="163"/>
      <c r="CT2" s="163"/>
      <c r="CU2" s="163"/>
      <c r="CV2" s="163"/>
      <c r="CW2" s="163"/>
      <c r="CX2" s="163"/>
      <c r="CY2" s="163"/>
      <c r="CZ2" s="163"/>
      <c r="DA2" s="163"/>
    </row>
    <row r="3" spans="1:105" ht="3" customHeight="1"/>
    <row r="4" spans="1:105" s="7" customFormat="1" ht="24" customHeight="1">
      <c r="BQ4" s="164" t="s">
        <v>6</v>
      </c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  <c r="CF4" s="164"/>
      <c r="CG4" s="164"/>
      <c r="CH4" s="164"/>
      <c r="CI4" s="164"/>
      <c r="CJ4" s="164"/>
      <c r="CK4" s="164"/>
      <c r="CL4" s="164"/>
      <c r="CM4" s="164"/>
      <c r="CN4" s="164"/>
      <c r="CO4" s="164"/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</row>
    <row r="7" spans="1:105" s="8" customFormat="1" ht="16.8">
      <c r="A7" s="165" t="s">
        <v>7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  <c r="AT7" s="165"/>
      <c r="AU7" s="165"/>
      <c r="AV7" s="165"/>
      <c r="AW7" s="165"/>
      <c r="AX7" s="165"/>
      <c r="AY7" s="165"/>
      <c r="AZ7" s="165"/>
      <c r="BA7" s="165"/>
      <c r="BB7" s="165"/>
      <c r="BC7" s="165"/>
      <c r="BD7" s="165"/>
      <c r="BE7" s="165"/>
      <c r="BF7" s="165"/>
      <c r="BG7" s="165"/>
      <c r="BH7" s="165"/>
      <c r="BI7" s="165"/>
      <c r="BJ7" s="165"/>
      <c r="BK7" s="165"/>
      <c r="BL7" s="165"/>
      <c r="BM7" s="165"/>
      <c r="BN7" s="165"/>
      <c r="BO7" s="165"/>
      <c r="BP7" s="165"/>
      <c r="BQ7" s="165"/>
      <c r="BR7" s="165"/>
      <c r="BS7" s="165"/>
      <c r="BT7" s="165"/>
      <c r="BU7" s="165"/>
      <c r="BV7" s="165"/>
      <c r="BW7" s="165"/>
      <c r="BX7" s="165"/>
      <c r="BY7" s="165"/>
      <c r="BZ7" s="165"/>
      <c r="CA7" s="165"/>
      <c r="CB7" s="165"/>
      <c r="CC7" s="165"/>
      <c r="CD7" s="165"/>
      <c r="CE7" s="165"/>
      <c r="CF7" s="165"/>
      <c r="CG7" s="165"/>
      <c r="CH7" s="165"/>
      <c r="CI7" s="165"/>
      <c r="CJ7" s="165"/>
      <c r="CK7" s="165"/>
      <c r="CL7" s="165"/>
      <c r="CM7" s="165"/>
      <c r="CN7" s="165"/>
      <c r="CO7" s="165"/>
      <c r="CP7" s="165"/>
      <c r="CQ7" s="165"/>
      <c r="CR7" s="165"/>
      <c r="CS7" s="165"/>
      <c r="CT7" s="165"/>
      <c r="CU7" s="165"/>
      <c r="CV7" s="165"/>
      <c r="CW7" s="165"/>
      <c r="CX7" s="165"/>
      <c r="CY7" s="165"/>
      <c r="CZ7" s="165"/>
      <c r="DA7" s="165"/>
    </row>
    <row r="8" spans="1:105" s="8" customFormat="1" ht="6" customHeight="1">
      <c r="A8" s="153"/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</row>
    <row r="9" spans="1:105" s="8" customFormat="1" ht="39" customHeight="1">
      <c r="A9" s="166" t="s">
        <v>2109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165"/>
      <c r="BS9" s="165"/>
      <c r="BT9" s="165"/>
      <c r="BU9" s="165"/>
      <c r="BV9" s="165"/>
      <c r="BW9" s="165"/>
      <c r="BX9" s="165"/>
      <c r="BY9" s="165"/>
      <c r="BZ9" s="165"/>
      <c r="CA9" s="165"/>
      <c r="CB9" s="165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5"/>
      <c r="CN9" s="165"/>
      <c r="CO9" s="165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5"/>
      <c r="DA9" s="165"/>
    </row>
    <row r="11" spans="1:105" s="5" customFormat="1" ht="30" customHeight="1">
      <c r="A11" s="190" t="s">
        <v>27</v>
      </c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1"/>
      <c r="AH11" s="169" t="s">
        <v>49</v>
      </c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1"/>
      <c r="BR11" s="199" t="s">
        <v>50</v>
      </c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  <c r="CC11" s="199"/>
      <c r="CD11" s="199"/>
      <c r="CE11" s="199"/>
      <c r="CF11" s="199"/>
      <c r="CG11" s="199"/>
      <c r="CH11" s="199"/>
      <c r="CI11" s="199"/>
      <c r="CJ11" s="199"/>
      <c r="CK11" s="199"/>
      <c r="CL11" s="199"/>
      <c r="CM11" s="199"/>
      <c r="CN11" s="199"/>
      <c r="CO11" s="199"/>
      <c r="CP11" s="199"/>
      <c r="CQ11" s="199"/>
      <c r="CR11" s="199"/>
      <c r="CS11" s="199"/>
      <c r="CT11" s="199"/>
      <c r="CU11" s="199"/>
      <c r="CV11" s="199"/>
      <c r="CW11" s="199"/>
      <c r="CX11" s="199"/>
      <c r="CY11" s="199"/>
      <c r="CZ11" s="199"/>
      <c r="DA11" s="199"/>
    </row>
    <row r="12" spans="1:105" s="5" customFormat="1" ht="30" customHeight="1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3"/>
      <c r="AH12" s="169" t="s">
        <v>22</v>
      </c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1"/>
      <c r="AT12" s="169" t="s">
        <v>23</v>
      </c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1"/>
      <c r="BF12" s="169" t="s">
        <v>32</v>
      </c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1"/>
      <c r="BR12" s="199" t="s">
        <v>22</v>
      </c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 t="s">
        <v>23</v>
      </c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 t="s">
        <v>32</v>
      </c>
      <c r="CQ12" s="199"/>
      <c r="CR12" s="199"/>
      <c r="CS12" s="199"/>
      <c r="CT12" s="199"/>
      <c r="CU12" s="199"/>
      <c r="CV12" s="199"/>
      <c r="CW12" s="199"/>
      <c r="CX12" s="199"/>
      <c r="CY12" s="199"/>
      <c r="CZ12" s="199"/>
      <c r="DA12" s="199"/>
    </row>
    <row r="13" spans="1:105" s="5" customFormat="1" ht="15" customHeight="1">
      <c r="A13" s="172" t="s">
        <v>11</v>
      </c>
      <c r="B13" s="172"/>
      <c r="C13" s="172"/>
      <c r="D13" s="172"/>
      <c r="E13" s="172"/>
      <c r="F13" s="173" t="s">
        <v>33</v>
      </c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94"/>
      <c r="AH13" s="183">
        <v>243</v>
      </c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5"/>
      <c r="AT13" s="183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5"/>
      <c r="BF13" s="183"/>
      <c r="BG13" s="184"/>
      <c r="BH13" s="184"/>
      <c r="BI13" s="184"/>
      <c r="BJ13" s="184"/>
      <c r="BK13" s="184"/>
      <c r="BL13" s="184"/>
      <c r="BM13" s="184"/>
      <c r="BN13" s="184"/>
      <c r="BO13" s="184"/>
      <c r="BP13" s="184"/>
      <c r="BQ13" s="185"/>
      <c r="BR13" s="200">
        <v>3306</v>
      </c>
      <c r="BS13" s="200"/>
      <c r="BT13" s="200"/>
      <c r="BU13" s="200"/>
      <c r="BV13" s="200"/>
      <c r="BW13" s="200"/>
      <c r="BX13" s="200"/>
      <c r="BY13" s="200"/>
      <c r="BZ13" s="200"/>
      <c r="CA13" s="200"/>
      <c r="CB13" s="200"/>
      <c r="CC13" s="200"/>
      <c r="CD13" s="183"/>
      <c r="CE13" s="184"/>
      <c r="CF13" s="184"/>
      <c r="CG13" s="184"/>
      <c r="CH13" s="184"/>
      <c r="CI13" s="184"/>
      <c r="CJ13" s="184"/>
      <c r="CK13" s="184"/>
      <c r="CL13" s="184"/>
      <c r="CM13" s="184"/>
      <c r="CN13" s="184"/>
      <c r="CO13" s="185"/>
      <c r="CP13" s="183" t="s">
        <v>34</v>
      </c>
      <c r="CQ13" s="184"/>
      <c r="CR13" s="184"/>
      <c r="CS13" s="184"/>
      <c r="CT13" s="184"/>
      <c r="CU13" s="184"/>
      <c r="CV13" s="184"/>
      <c r="CW13" s="184"/>
      <c r="CX13" s="184"/>
      <c r="CY13" s="184"/>
      <c r="CZ13" s="184"/>
      <c r="DA13" s="185"/>
    </row>
    <row r="14" spans="1:105" s="5" customFormat="1" ht="27.75" customHeight="1">
      <c r="A14" s="172"/>
      <c r="B14" s="172"/>
      <c r="C14" s="172"/>
      <c r="D14" s="172"/>
      <c r="E14" s="172"/>
      <c r="F14" s="195" t="s">
        <v>35</v>
      </c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5"/>
      <c r="AD14" s="195"/>
      <c r="AE14" s="195"/>
      <c r="AF14" s="195"/>
      <c r="AG14" s="196"/>
      <c r="AH14" s="183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5"/>
      <c r="AT14" s="183"/>
      <c r="AU14" s="184"/>
      <c r="AV14" s="184"/>
      <c r="AW14" s="184"/>
      <c r="AX14" s="184"/>
      <c r="AY14" s="184"/>
      <c r="AZ14" s="184"/>
      <c r="BA14" s="184"/>
      <c r="BB14" s="184"/>
      <c r="BC14" s="184"/>
      <c r="BD14" s="184"/>
      <c r="BE14" s="185"/>
      <c r="BF14" s="183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5"/>
      <c r="BR14" s="183"/>
      <c r="BS14" s="184"/>
      <c r="BT14" s="184"/>
      <c r="BU14" s="184"/>
      <c r="BV14" s="184"/>
      <c r="BW14" s="184"/>
      <c r="BX14" s="184"/>
      <c r="BY14" s="184"/>
      <c r="BZ14" s="184"/>
      <c r="CA14" s="184"/>
      <c r="CB14" s="184"/>
      <c r="CC14" s="185"/>
      <c r="CD14" s="183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5"/>
      <c r="CP14" s="183" t="s">
        <v>34</v>
      </c>
      <c r="CQ14" s="184"/>
      <c r="CR14" s="184"/>
      <c r="CS14" s="184"/>
      <c r="CT14" s="184"/>
      <c r="CU14" s="184"/>
      <c r="CV14" s="184"/>
      <c r="CW14" s="184"/>
      <c r="CX14" s="184"/>
      <c r="CY14" s="184"/>
      <c r="CZ14" s="184"/>
      <c r="DA14" s="185"/>
    </row>
    <row r="15" spans="1:105" s="5" customFormat="1" ht="15" customHeight="1">
      <c r="A15" s="172" t="s">
        <v>13</v>
      </c>
      <c r="B15" s="172"/>
      <c r="C15" s="172"/>
      <c r="D15" s="172"/>
      <c r="E15" s="172"/>
      <c r="F15" s="173" t="s">
        <v>36</v>
      </c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94"/>
      <c r="AH15" s="183">
        <v>57</v>
      </c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5"/>
      <c r="AT15" s="183"/>
      <c r="AU15" s="184"/>
      <c r="AV15" s="184"/>
      <c r="AW15" s="184"/>
      <c r="AX15" s="184"/>
      <c r="AY15" s="184"/>
      <c r="AZ15" s="184"/>
      <c r="BA15" s="184"/>
      <c r="BB15" s="184"/>
      <c r="BC15" s="184"/>
      <c r="BD15" s="184"/>
      <c r="BE15" s="185"/>
      <c r="BF15" s="183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5"/>
      <c r="BR15" s="200">
        <v>5136</v>
      </c>
      <c r="BS15" s="200"/>
      <c r="BT15" s="200"/>
      <c r="BU15" s="200"/>
      <c r="BV15" s="200"/>
      <c r="BW15" s="200"/>
      <c r="BX15" s="200"/>
      <c r="BY15" s="200"/>
      <c r="BZ15" s="200"/>
      <c r="CA15" s="200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183" t="s">
        <v>34</v>
      </c>
      <c r="CQ15" s="184"/>
      <c r="CR15" s="184"/>
      <c r="CS15" s="184"/>
      <c r="CT15" s="184"/>
      <c r="CU15" s="184"/>
      <c r="CV15" s="184"/>
      <c r="CW15" s="184"/>
      <c r="CX15" s="184"/>
      <c r="CY15" s="184"/>
      <c r="CZ15" s="184"/>
      <c r="DA15" s="185"/>
    </row>
    <row r="16" spans="1:105" s="5" customFormat="1" ht="27.75" customHeight="1">
      <c r="A16" s="172"/>
      <c r="B16" s="172"/>
      <c r="C16" s="172"/>
      <c r="D16" s="172"/>
      <c r="E16" s="172"/>
      <c r="F16" s="195" t="s">
        <v>37</v>
      </c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6"/>
      <c r="AH16" s="183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5"/>
      <c r="AT16" s="183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5"/>
      <c r="BF16" s="183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5"/>
      <c r="BR16" s="183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5"/>
      <c r="CD16" s="183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5"/>
      <c r="CP16" s="183" t="s">
        <v>34</v>
      </c>
      <c r="CQ16" s="184"/>
      <c r="CR16" s="184"/>
      <c r="CS16" s="184"/>
      <c r="CT16" s="184"/>
      <c r="CU16" s="184"/>
      <c r="CV16" s="184"/>
      <c r="CW16" s="184"/>
      <c r="CX16" s="184"/>
      <c r="CY16" s="184"/>
      <c r="CZ16" s="184"/>
      <c r="DA16" s="185"/>
    </row>
    <row r="17" spans="1:105" s="5" customFormat="1" ht="15" customHeight="1">
      <c r="A17" s="172" t="s">
        <v>15</v>
      </c>
      <c r="B17" s="172"/>
      <c r="C17" s="172"/>
      <c r="D17" s="172"/>
      <c r="E17" s="172"/>
      <c r="F17" s="173" t="s">
        <v>38</v>
      </c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94"/>
      <c r="AH17" s="183">
        <v>9</v>
      </c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5"/>
      <c r="AT17" s="183">
        <v>3</v>
      </c>
      <c r="AU17" s="184"/>
      <c r="AV17" s="184"/>
      <c r="AW17" s="184"/>
      <c r="AX17" s="184"/>
      <c r="AY17" s="184"/>
      <c r="AZ17" s="184"/>
      <c r="BA17" s="184"/>
      <c r="BB17" s="184"/>
      <c r="BC17" s="184"/>
      <c r="BD17" s="184"/>
      <c r="BE17" s="185"/>
      <c r="BF17" s="183"/>
      <c r="BG17" s="184"/>
      <c r="BH17" s="184"/>
      <c r="BI17" s="184"/>
      <c r="BJ17" s="184"/>
      <c r="BK17" s="184"/>
      <c r="BL17" s="184"/>
      <c r="BM17" s="184"/>
      <c r="BN17" s="184"/>
      <c r="BO17" s="184"/>
      <c r="BP17" s="184"/>
      <c r="BQ17" s="185"/>
      <c r="BR17" s="200">
        <v>3172</v>
      </c>
      <c r="BS17" s="200"/>
      <c r="BT17" s="200"/>
      <c r="BU17" s="200"/>
      <c r="BV17" s="200"/>
      <c r="BW17" s="200"/>
      <c r="BX17" s="200"/>
      <c r="BY17" s="200"/>
      <c r="BZ17" s="200"/>
      <c r="CA17" s="200"/>
      <c r="CB17" s="200"/>
      <c r="CC17" s="200"/>
      <c r="CD17" s="200">
        <v>840</v>
      </c>
      <c r="CE17" s="200"/>
      <c r="CF17" s="200"/>
      <c r="CG17" s="200"/>
      <c r="CH17" s="200"/>
      <c r="CI17" s="200"/>
      <c r="CJ17" s="200"/>
      <c r="CK17" s="200"/>
      <c r="CL17" s="200"/>
      <c r="CM17" s="200"/>
      <c r="CN17" s="200"/>
      <c r="CO17" s="200"/>
      <c r="CP17" s="183" t="s">
        <v>34</v>
      </c>
      <c r="CQ17" s="184"/>
      <c r="CR17" s="184"/>
      <c r="CS17" s="184"/>
      <c r="CT17" s="184"/>
      <c r="CU17" s="184"/>
      <c r="CV17" s="184"/>
      <c r="CW17" s="184"/>
      <c r="CX17" s="184"/>
      <c r="CY17" s="184"/>
      <c r="CZ17" s="184"/>
      <c r="DA17" s="185"/>
    </row>
    <row r="18" spans="1:105" s="5" customFormat="1" ht="40.5" customHeight="1">
      <c r="A18" s="172"/>
      <c r="B18" s="172"/>
      <c r="C18" s="172"/>
      <c r="D18" s="172"/>
      <c r="E18" s="172"/>
      <c r="F18" s="195" t="s">
        <v>39</v>
      </c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6"/>
      <c r="AH18" s="183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5"/>
      <c r="AT18" s="183"/>
      <c r="AU18" s="184"/>
      <c r="AV18" s="184"/>
      <c r="AW18" s="184"/>
      <c r="AX18" s="184"/>
      <c r="AY18" s="184"/>
      <c r="AZ18" s="184"/>
      <c r="BA18" s="184"/>
      <c r="BB18" s="184"/>
      <c r="BC18" s="184"/>
      <c r="BD18" s="184"/>
      <c r="BE18" s="185"/>
      <c r="BF18" s="183"/>
      <c r="BG18" s="184"/>
      <c r="BH18" s="184"/>
      <c r="BI18" s="184"/>
      <c r="BJ18" s="184"/>
      <c r="BK18" s="184"/>
      <c r="BL18" s="184"/>
      <c r="BM18" s="184"/>
      <c r="BN18" s="184"/>
      <c r="BO18" s="184"/>
      <c r="BP18" s="184"/>
      <c r="BQ18" s="185"/>
      <c r="BR18" s="183"/>
      <c r="BS18" s="184"/>
      <c r="BT18" s="184"/>
      <c r="BU18" s="184"/>
      <c r="BV18" s="184"/>
      <c r="BW18" s="184"/>
      <c r="BX18" s="184"/>
      <c r="BY18" s="184"/>
      <c r="BZ18" s="184"/>
      <c r="CA18" s="184"/>
      <c r="CB18" s="184"/>
      <c r="CC18" s="185"/>
      <c r="CD18" s="183"/>
      <c r="CE18" s="184"/>
      <c r="CF18" s="184"/>
      <c r="CG18" s="184"/>
      <c r="CH18" s="184"/>
      <c r="CI18" s="184"/>
      <c r="CJ18" s="184"/>
      <c r="CK18" s="184"/>
      <c r="CL18" s="184"/>
      <c r="CM18" s="184"/>
      <c r="CN18" s="184"/>
      <c r="CO18" s="185"/>
      <c r="CP18" s="183" t="s">
        <v>34</v>
      </c>
      <c r="CQ18" s="184"/>
      <c r="CR18" s="184"/>
      <c r="CS18" s="184"/>
      <c r="CT18" s="184"/>
      <c r="CU18" s="184"/>
      <c r="CV18" s="184"/>
      <c r="CW18" s="184"/>
      <c r="CX18" s="184"/>
      <c r="CY18" s="184"/>
      <c r="CZ18" s="184"/>
      <c r="DA18" s="185"/>
    </row>
    <row r="19" spans="1:105" s="5" customFormat="1" ht="27.75" customHeight="1">
      <c r="A19" s="172" t="s">
        <v>40</v>
      </c>
      <c r="B19" s="172"/>
      <c r="C19" s="172"/>
      <c r="D19" s="172"/>
      <c r="E19" s="172"/>
      <c r="F19" s="173" t="s">
        <v>41</v>
      </c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94"/>
      <c r="AH19" s="183">
        <v>4</v>
      </c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5"/>
      <c r="AT19" s="183">
        <v>1</v>
      </c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5"/>
      <c r="BF19" s="183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5"/>
      <c r="BR19" s="200">
        <v>6716</v>
      </c>
      <c r="BS19" s="200"/>
      <c r="BT19" s="200"/>
      <c r="BU19" s="200"/>
      <c r="BV19" s="200"/>
      <c r="BW19" s="200"/>
      <c r="BX19" s="200"/>
      <c r="BY19" s="200"/>
      <c r="BZ19" s="200"/>
      <c r="CA19" s="200"/>
      <c r="CB19" s="200"/>
      <c r="CC19" s="200"/>
      <c r="CD19" s="200">
        <v>810</v>
      </c>
      <c r="CE19" s="200"/>
      <c r="CF19" s="200"/>
      <c r="CG19" s="200"/>
      <c r="CH19" s="200"/>
      <c r="CI19" s="200"/>
      <c r="CJ19" s="200"/>
      <c r="CK19" s="200"/>
      <c r="CL19" s="200"/>
      <c r="CM19" s="200"/>
      <c r="CN19" s="200"/>
      <c r="CO19" s="200"/>
      <c r="CP19" s="183" t="s">
        <v>34</v>
      </c>
      <c r="CQ19" s="184"/>
      <c r="CR19" s="184"/>
      <c r="CS19" s="184"/>
      <c r="CT19" s="184"/>
      <c r="CU19" s="184"/>
      <c r="CV19" s="184"/>
      <c r="CW19" s="184"/>
      <c r="CX19" s="184"/>
      <c r="CY19" s="184"/>
      <c r="CZ19" s="184"/>
      <c r="DA19" s="185"/>
    </row>
    <row r="20" spans="1:105" s="5" customFormat="1" ht="40.5" customHeight="1">
      <c r="A20" s="172"/>
      <c r="B20" s="172"/>
      <c r="C20" s="172"/>
      <c r="D20" s="172"/>
      <c r="E20" s="172"/>
      <c r="F20" s="195" t="s">
        <v>39</v>
      </c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6"/>
      <c r="AH20" s="183" t="s">
        <v>34</v>
      </c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5"/>
      <c r="AT20" s="183" t="s">
        <v>34</v>
      </c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5"/>
      <c r="BF20" s="183" t="s">
        <v>34</v>
      </c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5"/>
      <c r="BR20" s="183" t="s">
        <v>34</v>
      </c>
      <c r="BS20" s="184"/>
      <c r="BT20" s="184"/>
      <c r="BU20" s="184"/>
      <c r="BV20" s="184"/>
      <c r="BW20" s="184"/>
      <c r="BX20" s="184"/>
      <c r="BY20" s="184"/>
      <c r="BZ20" s="184"/>
      <c r="CA20" s="184"/>
      <c r="CB20" s="184"/>
      <c r="CC20" s="185"/>
      <c r="CD20" s="183" t="s">
        <v>34</v>
      </c>
      <c r="CE20" s="184"/>
      <c r="CF20" s="184"/>
      <c r="CG20" s="184"/>
      <c r="CH20" s="184"/>
      <c r="CI20" s="184"/>
      <c r="CJ20" s="184"/>
      <c r="CK20" s="184"/>
      <c r="CL20" s="184"/>
      <c r="CM20" s="184"/>
      <c r="CN20" s="184"/>
      <c r="CO20" s="185"/>
      <c r="CP20" s="183" t="s">
        <v>34</v>
      </c>
      <c r="CQ20" s="184"/>
      <c r="CR20" s="184"/>
      <c r="CS20" s="184"/>
      <c r="CT20" s="184"/>
      <c r="CU20" s="184"/>
      <c r="CV20" s="184"/>
      <c r="CW20" s="184"/>
      <c r="CX20" s="184"/>
      <c r="CY20" s="184"/>
      <c r="CZ20" s="184"/>
      <c r="DA20" s="185"/>
    </row>
    <row r="21" spans="1:105" s="5" customFormat="1" ht="15" customHeight="1">
      <c r="A21" s="172" t="s">
        <v>42</v>
      </c>
      <c r="B21" s="172"/>
      <c r="C21" s="172"/>
      <c r="D21" s="172"/>
      <c r="E21" s="172"/>
      <c r="F21" s="173" t="s">
        <v>43</v>
      </c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94"/>
      <c r="AH21" s="183" t="s">
        <v>34</v>
      </c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5"/>
      <c r="AT21" s="183" t="s">
        <v>34</v>
      </c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5"/>
      <c r="BF21" s="183" t="s">
        <v>34</v>
      </c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5"/>
      <c r="BR21" s="183" t="s">
        <v>34</v>
      </c>
      <c r="BS21" s="184"/>
      <c r="BT21" s="184"/>
      <c r="BU21" s="184"/>
      <c r="BV21" s="184"/>
      <c r="BW21" s="184"/>
      <c r="BX21" s="184"/>
      <c r="BY21" s="184"/>
      <c r="BZ21" s="184"/>
      <c r="CA21" s="184"/>
      <c r="CB21" s="184"/>
      <c r="CC21" s="185"/>
      <c r="CD21" s="183" t="s">
        <v>34</v>
      </c>
      <c r="CE21" s="184"/>
      <c r="CF21" s="184"/>
      <c r="CG21" s="184"/>
      <c r="CH21" s="184"/>
      <c r="CI21" s="184"/>
      <c r="CJ21" s="184"/>
      <c r="CK21" s="184"/>
      <c r="CL21" s="184"/>
      <c r="CM21" s="184"/>
      <c r="CN21" s="184"/>
      <c r="CO21" s="185"/>
      <c r="CP21" s="183" t="s">
        <v>34</v>
      </c>
      <c r="CQ21" s="184"/>
      <c r="CR21" s="184"/>
      <c r="CS21" s="184"/>
      <c r="CT21" s="184"/>
      <c r="CU21" s="184"/>
      <c r="CV21" s="184"/>
      <c r="CW21" s="184"/>
      <c r="CX21" s="184"/>
      <c r="CY21" s="184"/>
      <c r="CZ21" s="184"/>
      <c r="DA21" s="185"/>
    </row>
    <row r="22" spans="1:105" s="5" customFormat="1" ht="40.5" customHeight="1">
      <c r="A22" s="172"/>
      <c r="B22" s="172"/>
      <c r="C22" s="172"/>
      <c r="D22" s="172"/>
      <c r="E22" s="172"/>
      <c r="F22" s="195" t="s">
        <v>39</v>
      </c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6"/>
      <c r="AH22" s="183" t="s">
        <v>34</v>
      </c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5"/>
      <c r="AT22" s="183" t="s">
        <v>34</v>
      </c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5"/>
      <c r="BF22" s="183" t="s">
        <v>34</v>
      </c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5"/>
      <c r="BR22" s="183" t="s">
        <v>34</v>
      </c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5"/>
      <c r="CD22" s="183" t="s">
        <v>34</v>
      </c>
      <c r="CE22" s="184"/>
      <c r="CF22" s="184"/>
      <c r="CG22" s="184"/>
      <c r="CH22" s="184"/>
      <c r="CI22" s="184"/>
      <c r="CJ22" s="184"/>
      <c r="CK22" s="184"/>
      <c r="CL22" s="184"/>
      <c r="CM22" s="184"/>
      <c r="CN22" s="184"/>
      <c r="CO22" s="185"/>
      <c r="CP22" s="183" t="s">
        <v>34</v>
      </c>
      <c r="CQ22" s="184"/>
      <c r="CR22" s="184"/>
      <c r="CS22" s="184"/>
      <c r="CT22" s="184"/>
      <c r="CU22" s="184"/>
      <c r="CV22" s="184"/>
      <c r="CW22" s="184"/>
      <c r="CX22" s="184"/>
      <c r="CY22" s="184"/>
      <c r="CZ22" s="184"/>
      <c r="DA22" s="185"/>
    </row>
    <row r="23" spans="1:105" s="5" customFormat="1" ht="15" customHeight="1">
      <c r="A23" s="172" t="s">
        <v>44</v>
      </c>
      <c r="B23" s="172"/>
      <c r="C23" s="172"/>
      <c r="D23" s="172"/>
      <c r="E23" s="172"/>
      <c r="F23" s="173" t="s">
        <v>45</v>
      </c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94"/>
      <c r="AH23" s="183" t="s">
        <v>34</v>
      </c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5"/>
      <c r="AT23" s="183" t="s">
        <v>34</v>
      </c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5"/>
      <c r="BF23" s="183" t="s">
        <v>34</v>
      </c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5"/>
      <c r="BR23" s="183" t="s">
        <v>34</v>
      </c>
      <c r="BS23" s="184"/>
      <c r="BT23" s="184"/>
      <c r="BU23" s="184"/>
      <c r="BV23" s="184"/>
      <c r="BW23" s="184"/>
      <c r="BX23" s="184"/>
      <c r="BY23" s="184"/>
      <c r="BZ23" s="184"/>
      <c r="CA23" s="184"/>
      <c r="CB23" s="184"/>
      <c r="CC23" s="185"/>
      <c r="CD23" s="183" t="s">
        <v>34</v>
      </c>
      <c r="CE23" s="184"/>
      <c r="CF23" s="184"/>
      <c r="CG23" s="184"/>
      <c r="CH23" s="184"/>
      <c r="CI23" s="184"/>
      <c r="CJ23" s="184"/>
      <c r="CK23" s="184"/>
      <c r="CL23" s="184"/>
      <c r="CM23" s="184"/>
      <c r="CN23" s="184"/>
      <c r="CO23" s="185"/>
      <c r="CP23" s="183" t="s">
        <v>34</v>
      </c>
      <c r="CQ23" s="184"/>
      <c r="CR23" s="184"/>
      <c r="CS23" s="184"/>
      <c r="CT23" s="184"/>
      <c r="CU23" s="184"/>
      <c r="CV23" s="184"/>
      <c r="CW23" s="184"/>
      <c r="CX23" s="184"/>
      <c r="CY23" s="184"/>
      <c r="CZ23" s="184"/>
      <c r="DA23" s="185"/>
    </row>
    <row r="24" spans="1:105" ht="3" customHeight="1"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</row>
    <row r="25" spans="1:105" s="18" customFormat="1" ht="26.25" customHeight="1">
      <c r="A25" s="197" t="s">
        <v>46</v>
      </c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8"/>
      <c r="CD25" s="198"/>
      <c r="CE25" s="198"/>
      <c r="CF25" s="198"/>
      <c r="CG25" s="198"/>
      <c r="CH25" s="198"/>
      <c r="CI25" s="198"/>
      <c r="CJ25" s="198"/>
      <c r="CK25" s="198"/>
      <c r="CL25" s="198"/>
      <c r="CM25" s="198"/>
      <c r="CN25" s="198"/>
      <c r="CO25" s="198"/>
      <c r="CP25" s="198"/>
      <c r="CQ25" s="198"/>
      <c r="CR25" s="198"/>
      <c r="CS25" s="198"/>
      <c r="CT25" s="198"/>
      <c r="CU25" s="198"/>
      <c r="CV25" s="198"/>
      <c r="CW25" s="198"/>
      <c r="CX25" s="198"/>
      <c r="CY25" s="198"/>
      <c r="CZ25" s="198"/>
      <c r="DA25" s="198"/>
    </row>
    <row r="26" spans="1:105" ht="3" customHeight="1"/>
    <row r="27" spans="1:105" s="18" customFormat="1" ht="69" customHeight="1">
      <c r="A27" s="197" t="s">
        <v>47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98"/>
      <c r="P27" s="198"/>
      <c r="Q27" s="198"/>
      <c r="R27" s="198"/>
      <c r="S27" s="198"/>
      <c r="T27" s="198"/>
      <c r="U27" s="198"/>
      <c r="V27" s="198"/>
      <c r="W27" s="198"/>
      <c r="X27" s="198"/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CZ27" s="198"/>
      <c r="DA27" s="198"/>
    </row>
  </sheetData>
  <mergeCells count="103">
    <mergeCell ref="CD23:CO23"/>
    <mergeCell ref="CP23:DA23"/>
    <mergeCell ref="A25:DA25"/>
    <mergeCell ref="A27:DA27"/>
    <mergeCell ref="A23:E23"/>
    <mergeCell ref="F23:AG23"/>
    <mergeCell ref="AH23:AS23"/>
    <mergeCell ref="AT23:BE23"/>
    <mergeCell ref="BF23:BQ23"/>
    <mergeCell ref="BR23:CC23"/>
    <mergeCell ref="CD21:CO21"/>
    <mergeCell ref="CP21:DA21"/>
    <mergeCell ref="A22:E22"/>
    <mergeCell ref="F22:AG22"/>
    <mergeCell ref="AH22:AS22"/>
    <mergeCell ref="AT22:BE22"/>
    <mergeCell ref="BF22:BQ22"/>
    <mergeCell ref="BR22:CC22"/>
    <mergeCell ref="CD22:CO22"/>
    <mergeCell ref="CP22:DA22"/>
    <mergeCell ref="A21:E21"/>
    <mergeCell ref="F21:AG21"/>
    <mergeCell ref="AH21:AS21"/>
    <mergeCell ref="AT21:BE21"/>
    <mergeCell ref="BF21:BQ21"/>
    <mergeCell ref="BR21:CC21"/>
    <mergeCell ref="CD19:CO19"/>
    <mergeCell ref="CP19:DA19"/>
    <mergeCell ref="A20:E20"/>
    <mergeCell ref="F20:AG20"/>
    <mergeCell ref="AH20:AS20"/>
    <mergeCell ref="AT20:BE20"/>
    <mergeCell ref="BF20:BQ20"/>
    <mergeCell ref="BR20:CC20"/>
    <mergeCell ref="CD20:CO20"/>
    <mergeCell ref="CP20:DA20"/>
    <mergeCell ref="A19:E19"/>
    <mergeCell ref="F19:AG19"/>
    <mergeCell ref="AH19:AS19"/>
    <mergeCell ref="AT19:BE19"/>
    <mergeCell ref="BF19:BQ19"/>
    <mergeCell ref="BR19:CC19"/>
    <mergeCell ref="CD17:CO17"/>
    <mergeCell ref="CP17:DA17"/>
    <mergeCell ref="A18:E18"/>
    <mergeCell ref="F18:AG18"/>
    <mergeCell ref="AH18:AS18"/>
    <mergeCell ref="AT18:BE18"/>
    <mergeCell ref="BF18:BQ18"/>
    <mergeCell ref="BR18:CC18"/>
    <mergeCell ref="CD18:CO18"/>
    <mergeCell ref="CP18:DA18"/>
    <mergeCell ref="A17:E17"/>
    <mergeCell ref="F17:AG17"/>
    <mergeCell ref="AH17:AS17"/>
    <mergeCell ref="AT17:BE17"/>
    <mergeCell ref="BF17:BQ17"/>
    <mergeCell ref="BR17:CC17"/>
    <mergeCell ref="CD15:CO15"/>
    <mergeCell ref="CP15:DA15"/>
    <mergeCell ref="A16:E16"/>
    <mergeCell ref="F16:AG16"/>
    <mergeCell ref="AH16:AS16"/>
    <mergeCell ref="AT16:BE16"/>
    <mergeCell ref="BF16:BQ16"/>
    <mergeCell ref="BR16:CC16"/>
    <mergeCell ref="CD16:CO16"/>
    <mergeCell ref="CP16:DA16"/>
    <mergeCell ref="A15:E15"/>
    <mergeCell ref="F15:AG15"/>
    <mergeCell ref="AH15:AS15"/>
    <mergeCell ref="AT15:BE15"/>
    <mergeCell ref="BF15:BQ15"/>
    <mergeCell ref="BR15:CC15"/>
    <mergeCell ref="A13:E13"/>
    <mergeCell ref="F13:AG13"/>
    <mergeCell ref="AH13:AS13"/>
    <mergeCell ref="AT13:BE13"/>
    <mergeCell ref="BF13:BQ13"/>
    <mergeCell ref="BR13:CC13"/>
    <mergeCell ref="CD13:CO13"/>
    <mergeCell ref="CP13:DA13"/>
    <mergeCell ref="A14:E14"/>
    <mergeCell ref="F14:AG14"/>
    <mergeCell ref="AH14:AS14"/>
    <mergeCell ref="AT14:BE14"/>
    <mergeCell ref="BF14:BQ14"/>
    <mergeCell ref="BR14:CC14"/>
    <mergeCell ref="CD14:CO14"/>
    <mergeCell ref="CP14:DA14"/>
    <mergeCell ref="BQ2:DA2"/>
    <mergeCell ref="BQ4:DA4"/>
    <mergeCell ref="A7:DA7"/>
    <mergeCell ref="A9:DA9"/>
    <mergeCell ref="A11:AG12"/>
    <mergeCell ref="AH11:BQ11"/>
    <mergeCell ref="BR11:DA11"/>
    <mergeCell ref="AH12:AS12"/>
    <mergeCell ref="AT12:BE12"/>
    <mergeCell ref="BF12:BQ12"/>
    <mergeCell ref="BR12:CC12"/>
    <mergeCell ref="CD12:CO12"/>
    <mergeCell ref="CP12:DA12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4"/>
  <sheetViews>
    <sheetView zoomScale="85" zoomScaleNormal="85" workbookViewId="0">
      <selection activeCell="F13" sqref="F13"/>
    </sheetView>
  </sheetViews>
  <sheetFormatPr defaultColWidth="9.109375" defaultRowHeight="15.6"/>
  <cols>
    <col min="1" max="1" width="13.33203125" style="1" customWidth="1"/>
    <col min="2" max="2" width="58.44140625" style="1" customWidth="1"/>
    <col min="3" max="3" width="11.6640625" style="1" customWidth="1"/>
    <col min="4" max="4" width="13.44140625" style="29" customWidth="1"/>
    <col min="5" max="5" width="23.5546875" style="29" customWidth="1"/>
    <col min="6" max="6" width="21.109375" style="29" customWidth="1"/>
    <col min="7" max="7" width="26.44140625" style="1" customWidth="1"/>
    <col min="8" max="8" width="37.5546875" style="1" customWidth="1"/>
    <col min="9" max="9" width="37.109375" style="28" customWidth="1"/>
    <col min="10" max="16384" width="9.109375" style="1"/>
  </cols>
  <sheetData>
    <row r="1" spans="1:9" ht="93.75" customHeight="1">
      <c r="G1" s="30"/>
      <c r="H1" s="201" t="s">
        <v>103</v>
      </c>
      <c r="I1" s="201"/>
    </row>
    <row r="2" spans="1:9" ht="48.75" customHeight="1">
      <c r="A2" s="202" t="s">
        <v>208</v>
      </c>
      <c r="B2" s="202"/>
      <c r="C2" s="202"/>
      <c r="D2" s="202"/>
      <c r="E2" s="202"/>
      <c r="F2" s="202"/>
      <c r="G2" s="202"/>
      <c r="H2" s="202"/>
      <c r="I2" s="202"/>
    </row>
    <row r="4" spans="1:9" ht="140.4">
      <c r="A4" s="46" t="s">
        <v>51</v>
      </c>
      <c r="B4" s="48" t="s">
        <v>89</v>
      </c>
      <c r="C4" s="46" t="s">
        <v>52</v>
      </c>
      <c r="D4" s="46" t="s">
        <v>53</v>
      </c>
      <c r="E4" s="46" t="s">
        <v>104</v>
      </c>
      <c r="F4" s="46" t="s">
        <v>90</v>
      </c>
      <c r="G4" s="46" t="s">
        <v>91</v>
      </c>
      <c r="H4" s="46" t="s">
        <v>105</v>
      </c>
      <c r="I4" s="46" t="s">
        <v>106</v>
      </c>
    </row>
    <row r="5" spans="1:9">
      <c r="A5" s="46"/>
      <c r="B5" s="60"/>
      <c r="C5" s="46"/>
      <c r="D5" s="46"/>
      <c r="E5" s="46"/>
      <c r="F5" s="59"/>
      <c r="G5" s="46"/>
      <c r="H5" s="59"/>
      <c r="I5" s="59"/>
    </row>
    <row r="6" spans="1:9">
      <c r="A6" s="19">
        <v>1</v>
      </c>
      <c r="B6" s="24" t="s">
        <v>54</v>
      </c>
      <c r="C6" s="19" t="s">
        <v>34</v>
      </c>
      <c r="D6" s="46" t="s">
        <v>34</v>
      </c>
      <c r="E6" s="20">
        <f>E12+E14+E28+E30</f>
        <v>2.6451000000000002</v>
      </c>
      <c r="F6" s="20">
        <f t="shared" ref="F6:G6" si="0">F12+F14+F28+F30</f>
        <v>3148</v>
      </c>
      <c r="G6" s="20">
        <f t="shared" si="0"/>
        <v>4912.0871100000004</v>
      </c>
      <c r="H6" s="19" t="s">
        <v>34</v>
      </c>
      <c r="I6" s="31" t="s">
        <v>34</v>
      </c>
    </row>
    <row r="7" spans="1:9" ht="31.2">
      <c r="A7" s="46" t="s">
        <v>55</v>
      </c>
      <c r="B7" s="48" t="s">
        <v>56</v>
      </c>
      <c r="C7" s="46" t="s">
        <v>34</v>
      </c>
      <c r="D7" s="46" t="s">
        <v>34</v>
      </c>
      <c r="E7" s="45" t="s">
        <v>34</v>
      </c>
      <c r="F7" s="47" t="s">
        <v>34</v>
      </c>
      <c r="G7" s="45" t="s">
        <v>34</v>
      </c>
      <c r="H7" s="46" t="s">
        <v>34</v>
      </c>
      <c r="I7" s="50" t="s">
        <v>34</v>
      </c>
    </row>
    <row r="8" spans="1:9" ht="31.2">
      <c r="A8" s="46" t="s">
        <v>57</v>
      </c>
      <c r="B8" s="48" t="s">
        <v>58</v>
      </c>
      <c r="C8" s="46" t="s">
        <v>34</v>
      </c>
      <c r="D8" s="46" t="s">
        <v>34</v>
      </c>
      <c r="E8" s="45" t="s">
        <v>34</v>
      </c>
      <c r="F8" s="47" t="s">
        <v>34</v>
      </c>
      <c r="G8" s="45" t="s">
        <v>34</v>
      </c>
      <c r="H8" s="46" t="s">
        <v>34</v>
      </c>
      <c r="I8" s="50" t="s">
        <v>34</v>
      </c>
    </row>
    <row r="9" spans="1:9" ht="34.5" customHeight="1">
      <c r="A9" s="46" t="s">
        <v>59</v>
      </c>
      <c r="B9" s="48" t="s">
        <v>60</v>
      </c>
      <c r="C9" s="46" t="s">
        <v>34</v>
      </c>
      <c r="D9" s="46" t="s">
        <v>34</v>
      </c>
      <c r="E9" s="45" t="s">
        <v>34</v>
      </c>
      <c r="F9" s="47" t="s">
        <v>34</v>
      </c>
      <c r="G9" s="45" t="s">
        <v>34</v>
      </c>
      <c r="H9" s="46" t="s">
        <v>34</v>
      </c>
      <c r="I9" s="50" t="s">
        <v>34</v>
      </c>
    </row>
    <row r="10" spans="1:9" ht="109.2">
      <c r="A10" s="46" t="s">
        <v>61</v>
      </c>
      <c r="B10" s="62" t="s">
        <v>107</v>
      </c>
      <c r="C10" s="46"/>
      <c r="D10" s="46"/>
      <c r="E10" s="45"/>
      <c r="F10" s="47"/>
      <c r="G10" s="45"/>
      <c r="H10" s="32"/>
      <c r="I10" s="33"/>
    </row>
    <row r="11" spans="1:9" ht="30" customHeight="1">
      <c r="A11" s="46" t="s">
        <v>108</v>
      </c>
      <c r="B11" s="62" t="s">
        <v>109</v>
      </c>
      <c r="C11" s="46"/>
      <c r="D11" s="46"/>
      <c r="E11" s="45"/>
      <c r="F11" s="47"/>
      <c r="G11" s="45"/>
      <c r="H11" s="32"/>
      <c r="I11" s="33"/>
    </row>
    <row r="12" spans="1:9">
      <c r="A12" s="19" t="s">
        <v>209</v>
      </c>
      <c r="B12" s="24" t="s">
        <v>210</v>
      </c>
      <c r="C12" s="19"/>
      <c r="D12" s="46"/>
      <c r="E12" s="20">
        <f>E13</f>
        <v>0.22</v>
      </c>
      <c r="F12" s="20">
        <f t="shared" ref="F12:G12" si="1">F13</f>
        <v>15</v>
      </c>
      <c r="G12" s="20">
        <f t="shared" si="1"/>
        <v>210.26895999999999</v>
      </c>
      <c r="H12" s="34"/>
      <c r="I12" s="35"/>
    </row>
    <row r="13" spans="1:9" ht="47.25" customHeight="1">
      <c r="A13" s="19"/>
      <c r="B13" s="67" t="s">
        <v>211</v>
      </c>
      <c r="C13" s="19">
        <v>2022</v>
      </c>
      <c r="D13" s="46">
        <v>0.4</v>
      </c>
      <c r="E13" s="45">
        <v>0.22</v>
      </c>
      <c r="F13" s="38">
        <v>15</v>
      </c>
      <c r="G13" s="52">
        <v>210.26895999999999</v>
      </c>
      <c r="H13" s="38" t="s">
        <v>212</v>
      </c>
      <c r="I13" s="36" t="s">
        <v>213</v>
      </c>
    </row>
    <row r="14" spans="1:9">
      <c r="A14" s="19" t="s">
        <v>174</v>
      </c>
      <c r="B14" s="24" t="s">
        <v>110</v>
      </c>
      <c r="C14" s="19"/>
      <c r="D14" s="46"/>
      <c r="E14" s="20">
        <f>SUM(E15:E27)</f>
        <v>2.2940999999999998</v>
      </c>
      <c r="F14" s="20">
        <f t="shared" ref="F14:G14" si="2">SUM(F15:F27)</f>
        <v>653</v>
      </c>
      <c r="G14" s="20">
        <f t="shared" si="2"/>
        <v>4309.9433900000004</v>
      </c>
      <c r="H14" s="34"/>
      <c r="I14" s="35"/>
    </row>
    <row r="15" spans="1:9" ht="47.25" customHeight="1">
      <c r="A15" s="19"/>
      <c r="B15" s="67" t="s">
        <v>214</v>
      </c>
      <c r="C15" s="19">
        <v>2022</v>
      </c>
      <c r="D15" s="46">
        <v>0.4</v>
      </c>
      <c r="E15" s="45">
        <v>0.03</v>
      </c>
      <c r="F15" s="38">
        <v>15</v>
      </c>
      <c r="G15" s="52">
        <v>114.17857000000001</v>
      </c>
      <c r="H15" s="38" t="s">
        <v>114</v>
      </c>
      <c r="I15" s="36" t="s">
        <v>213</v>
      </c>
    </row>
    <row r="16" spans="1:9" ht="47.25" customHeight="1">
      <c r="A16" s="19"/>
      <c r="B16" s="67" t="s">
        <v>215</v>
      </c>
      <c r="C16" s="19">
        <v>2022</v>
      </c>
      <c r="D16" s="46">
        <v>0.4</v>
      </c>
      <c r="E16" s="45">
        <v>0.32600000000000001</v>
      </c>
      <c r="F16" s="38">
        <v>25</v>
      </c>
      <c r="G16" s="52">
        <v>548.01003000000003</v>
      </c>
      <c r="H16" s="38" t="s">
        <v>216</v>
      </c>
      <c r="I16" s="36" t="s">
        <v>217</v>
      </c>
    </row>
    <row r="17" spans="1:9" ht="47.25" customHeight="1">
      <c r="A17" s="19"/>
      <c r="B17" s="67" t="s">
        <v>218</v>
      </c>
      <c r="C17" s="19">
        <v>2022</v>
      </c>
      <c r="D17" s="46">
        <v>0.4</v>
      </c>
      <c r="E17" s="45">
        <v>0.17</v>
      </c>
      <c r="F17" s="38">
        <v>50</v>
      </c>
      <c r="G17" s="52">
        <v>338.20817999999997</v>
      </c>
      <c r="H17" s="38" t="s">
        <v>112</v>
      </c>
      <c r="I17" s="36" t="s">
        <v>219</v>
      </c>
    </row>
    <row r="18" spans="1:9" ht="47.25" customHeight="1">
      <c r="A18" s="19"/>
      <c r="B18" s="67" t="s">
        <v>220</v>
      </c>
      <c r="C18" s="19">
        <v>2022</v>
      </c>
      <c r="D18" s="46">
        <v>0.4</v>
      </c>
      <c r="E18" s="45">
        <v>0.437</v>
      </c>
      <c r="F18" s="38">
        <v>15</v>
      </c>
      <c r="G18" s="52">
        <v>712.14919999999995</v>
      </c>
      <c r="H18" s="38" t="s">
        <v>216</v>
      </c>
      <c r="I18" s="36" t="s">
        <v>213</v>
      </c>
    </row>
    <row r="19" spans="1:9" ht="47.25" customHeight="1">
      <c r="A19" s="19"/>
      <c r="B19" s="67" t="s">
        <v>221</v>
      </c>
      <c r="C19" s="19">
        <v>2022</v>
      </c>
      <c r="D19" s="46">
        <v>0.4</v>
      </c>
      <c r="E19" s="45">
        <v>0.18099999999999999</v>
      </c>
      <c r="F19" s="38">
        <v>15</v>
      </c>
      <c r="G19" s="52">
        <v>347.29864000000003</v>
      </c>
      <c r="H19" s="38" t="s">
        <v>216</v>
      </c>
      <c r="I19" s="36" t="s">
        <v>222</v>
      </c>
    </row>
    <row r="20" spans="1:9" ht="47.25" customHeight="1">
      <c r="A20" s="19"/>
      <c r="B20" s="67" t="s">
        <v>223</v>
      </c>
      <c r="C20" s="19">
        <v>2022</v>
      </c>
      <c r="D20" s="46">
        <v>6</v>
      </c>
      <c r="E20" s="45">
        <v>3.9100000000000003E-2</v>
      </c>
      <c r="F20" s="38">
        <v>309</v>
      </c>
      <c r="G20" s="52">
        <v>224.97807</v>
      </c>
      <c r="H20" s="38" t="s">
        <v>224</v>
      </c>
      <c r="I20" s="36" t="s">
        <v>225</v>
      </c>
    </row>
    <row r="21" spans="1:9" ht="47.25" customHeight="1">
      <c r="A21" s="19"/>
      <c r="B21" s="67" t="s">
        <v>226</v>
      </c>
      <c r="C21" s="19">
        <v>2022</v>
      </c>
      <c r="D21" s="46">
        <v>0.4</v>
      </c>
      <c r="E21" s="45">
        <v>0.17100000000000001</v>
      </c>
      <c r="F21" s="38">
        <v>15</v>
      </c>
      <c r="G21" s="52">
        <v>280.26560000000001</v>
      </c>
      <c r="H21" s="38" t="s">
        <v>111</v>
      </c>
      <c r="I21" s="36" t="s">
        <v>227</v>
      </c>
    </row>
    <row r="22" spans="1:9" ht="47.25" customHeight="1">
      <c r="A22" s="19"/>
      <c r="B22" s="67" t="s">
        <v>228</v>
      </c>
      <c r="C22" s="19">
        <v>2022</v>
      </c>
      <c r="D22" s="46">
        <v>0.4</v>
      </c>
      <c r="E22" s="45">
        <v>0.14799999999999999</v>
      </c>
      <c r="F22" s="38">
        <v>50</v>
      </c>
      <c r="G22" s="52">
        <v>341.36313999999999</v>
      </c>
      <c r="H22" s="38" t="s">
        <v>216</v>
      </c>
      <c r="I22" s="36" t="s">
        <v>229</v>
      </c>
    </row>
    <row r="23" spans="1:9" ht="47.25" customHeight="1">
      <c r="A23" s="19"/>
      <c r="B23" s="67" t="s">
        <v>230</v>
      </c>
      <c r="C23" s="19">
        <v>2022</v>
      </c>
      <c r="D23" s="46">
        <v>0.4</v>
      </c>
      <c r="E23" s="45">
        <v>8.5999999999999993E-2</v>
      </c>
      <c r="F23" s="38">
        <v>15</v>
      </c>
      <c r="G23" s="52">
        <v>185.94739999999999</v>
      </c>
      <c r="H23" s="38" t="s">
        <v>216</v>
      </c>
      <c r="I23" s="36" t="s">
        <v>227</v>
      </c>
    </row>
    <row r="24" spans="1:9" ht="47.25" customHeight="1">
      <c r="A24" s="19"/>
      <c r="B24" s="67" t="s">
        <v>231</v>
      </c>
      <c r="C24" s="19">
        <v>2022</v>
      </c>
      <c r="D24" s="46">
        <v>0.4</v>
      </c>
      <c r="E24" s="45">
        <v>9.0999999999999998E-2</v>
      </c>
      <c r="F24" s="38">
        <v>40</v>
      </c>
      <c r="G24" s="52">
        <v>232.21462</v>
      </c>
      <c r="H24" s="38" t="s">
        <v>113</v>
      </c>
      <c r="I24" s="36" t="s">
        <v>232</v>
      </c>
    </row>
    <row r="25" spans="1:9" ht="47.25" customHeight="1">
      <c r="A25" s="19"/>
      <c r="B25" s="67" t="s">
        <v>233</v>
      </c>
      <c r="C25" s="19">
        <v>2022</v>
      </c>
      <c r="D25" s="46">
        <v>0.4</v>
      </c>
      <c r="E25" s="45">
        <v>0.15</v>
      </c>
      <c r="F25" s="38">
        <v>40</v>
      </c>
      <c r="G25" s="52">
        <v>245.06188</v>
      </c>
      <c r="H25" s="38" t="s">
        <v>234</v>
      </c>
      <c r="I25" s="36" t="s">
        <v>213</v>
      </c>
    </row>
    <row r="26" spans="1:9" ht="47.25" customHeight="1">
      <c r="A26" s="19"/>
      <c r="B26" s="67" t="s">
        <v>235</v>
      </c>
      <c r="C26" s="19">
        <v>2022</v>
      </c>
      <c r="D26" s="46">
        <v>0.4</v>
      </c>
      <c r="E26" s="45">
        <v>0.26400000000000001</v>
      </c>
      <c r="F26" s="38">
        <v>14</v>
      </c>
      <c r="G26" s="52">
        <v>344.94877000000002</v>
      </c>
      <c r="H26" s="38" t="s">
        <v>216</v>
      </c>
      <c r="I26" s="36" t="s">
        <v>236</v>
      </c>
    </row>
    <row r="27" spans="1:9" ht="47.25" customHeight="1">
      <c r="A27" s="19"/>
      <c r="B27" s="67" t="s">
        <v>237</v>
      </c>
      <c r="C27" s="19">
        <v>2022</v>
      </c>
      <c r="D27" s="46">
        <v>0.4</v>
      </c>
      <c r="E27" s="45">
        <v>0.20100000000000001</v>
      </c>
      <c r="F27" s="38">
        <v>50</v>
      </c>
      <c r="G27" s="52">
        <v>395.31929000000002</v>
      </c>
      <c r="H27" s="38" t="s">
        <v>111</v>
      </c>
      <c r="I27" s="36" t="s">
        <v>238</v>
      </c>
    </row>
    <row r="28" spans="1:9">
      <c r="A28" s="19" t="s">
        <v>178</v>
      </c>
      <c r="B28" s="24" t="s">
        <v>179</v>
      </c>
      <c r="C28" s="19"/>
      <c r="D28" s="46"/>
      <c r="E28" s="20">
        <f>E29</f>
        <v>7.0999999999999994E-2</v>
      </c>
      <c r="F28" s="20">
        <f t="shared" ref="F28:G28" si="3">F29</f>
        <v>30</v>
      </c>
      <c r="G28" s="20">
        <f t="shared" si="3"/>
        <v>165.27510000000001</v>
      </c>
      <c r="H28" s="34"/>
      <c r="I28" s="35"/>
    </row>
    <row r="29" spans="1:9" ht="47.25" customHeight="1">
      <c r="A29" s="19"/>
      <c r="B29" s="67" t="s">
        <v>239</v>
      </c>
      <c r="C29" s="19">
        <v>2022</v>
      </c>
      <c r="D29" s="46">
        <v>0.4</v>
      </c>
      <c r="E29" s="45">
        <v>7.0999999999999994E-2</v>
      </c>
      <c r="F29" s="38">
        <v>30</v>
      </c>
      <c r="G29" s="52">
        <v>165.27510000000001</v>
      </c>
      <c r="H29" s="38" t="s">
        <v>240</v>
      </c>
      <c r="I29" s="36" t="s">
        <v>241</v>
      </c>
    </row>
    <row r="30" spans="1:9">
      <c r="A30" s="19" t="s">
        <v>242</v>
      </c>
      <c r="B30" s="24" t="s">
        <v>243</v>
      </c>
      <c r="C30" s="19"/>
      <c r="D30" s="46"/>
      <c r="E30" s="20">
        <f>E31</f>
        <v>0.06</v>
      </c>
      <c r="F30" s="20">
        <f t="shared" ref="F30:G30" si="4">F31</f>
        <v>2450</v>
      </c>
      <c r="G30" s="20">
        <f t="shared" si="4"/>
        <v>226.59966</v>
      </c>
      <c r="H30" s="34"/>
      <c r="I30" s="35"/>
    </row>
    <row r="31" spans="1:9" ht="47.25" customHeight="1">
      <c r="A31" s="19"/>
      <c r="B31" s="67" t="s">
        <v>244</v>
      </c>
      <c r="C31" s="19">
        <v>2022</v>
      </c>
      <c r="D31" s="46">
        <v>6</v>
      </c>
      <c r="E31" s="45">
        <v>0.06</v>
      </c>
      <c r="F31" s="68">
        <v>2450</v>
      </c>
      <c r="G31" s="52">
        <v>226.59966</v>
      </c>
      <c r="H31" s="38" t="s">
        <v>245</v>
      </c>
      <c r="I31" s="36" t="s">
        <v>246</v>
      </c>
    </row>
    <row r="32" spans="1:9">
      <c r="A32" s="19">
        <v>2</v>
      </c>
      <c r="B32" s="24" t="s">
        <v>62</v>
      </c>
      <c r="C32" s="19" t="s">
        <v>34</v>
      </c>
      <c r="D32" s="46" t="s">
        <v>34</v>
      </c>
      <c r="E32" s="20">
        <f>E38+E44+E51+E53+E56+E58+E60+E62+E69+E76+E78+E83+E86+E88+E90+E107+E110+E126+E133+E143+E152+E159+E163+E165+E167+E169+E171+E173+E175</f>
        <v>7.7429999999999986</v>
      </c>
      <c r="F32" s="20">
        <f>F38+F44+F51+F53+F56+F58+F60+F62+F69+F76+F78+F83+F86+F88+F90+F107+F110+F126+F133+F143+F152+F159+F163+F165+F167+F169+F171+F173+F175</f>
        <v>25733.7</v>
      </c>
      <c r="G32" s="20">
        <f>G38+G44+G51+G53+G56+G58+G60+G62+G69+G76+G78+G83+G86+G88+G90+G107+G110+G126+G133+G143+G152+G159+G163+G165+G167+G169+G171+G173+G175</f>
        <v>70741.599740000005</v>
      </c>
      <c r="H32" s="21" t="s">
        <v>34</v>
      </c>
      <c r="I32" s="31" t="s">
        <v>34</v>
      </c>
    </row>
    <row r="33" spans="1:9" ht="62.4">
      <c r="A33" s="46" t="s">
        <v>63</v>
      </c>
      <c r="B33" s="48" t="s">
        <v>180</v>
      </c>
      <c r="C33" s="46" t="s">
        <v>34</v>
      </c>
      <c r="D33" s="46" t="s">
        <v>34</v>
      </c>
      <c r="E33" s="45" t="s">
        <v>34</v>
      </c>
      <c r="F33" s="47" t="s">
        <v>34</v>
      </c>
      <c r="G33" s="45" t="s">
        <v>34</v>
      </c>
      <c r="H33" s="21" t="s">
        <v>34</v>
      </c>
      <c r="I33" s="50" t="s">
        <v>34</v>
      </c>
    </row>
    <row r="34" spans="1:9">
      <c r="A34" s="46" t="s">
        <v>64</v>
      </c>
      <c r="B34" s="48" t="s">
        <v>65</v>
      </c>
      <c r="C34" s="46" t="s">
        <v>34</v>
      </c>
      <c r="D34" s="46" t="s">
        <v>34</v>
      </c>
      <c r="E34" s="45" t="s">
        <v>34</v>
      </c>
      <c r="F34" s="47" t="s">
        <v>34</v>
      </c>
      <c r="G34" s="45" t="s">
        <v>34</v>
      </c>
      <c r="H34" s="21" t="s">
        <v>34</v>
      </c>
      <c r="I34" s="50" t="s">
        <v>34</v>
      </c>
    </row>
    <row r="35" spans="1:9" ht="31.2">
      <c r="A35" s="46" t="s">
        <v>66</v>
      </c>
      <c r="B35" s="48" t="s">
        <v>67</v>
      </c>
      <c r="C35" s="46" t="s">
        <v>34</v>
      </c>
      <c r="D35" s="46" t="s">
        <v>34</v>
      </c>
      <c r="E35" s="45" t="s">
        <v>34</v>
      </c>
      <c r="F35" s="47" t="s">
        <v>34</v>
      </c>
      <c r="G35" s="45" t="s">
        <v>34</v>
      </c>
      <c r="H35" s="21" t="s">
        <v>34</v>
      </c>
      <c r="I35" s="50" t="s">
        <v>34</v>
      </c>
    </row>
    <row r="36" spans="1:9" ht="147" customHeight="1">
      <c r="A36" s="46" t="s">
        <v>68</v>
      </c>
      <c r="B36" s="62" t="s">
        <v>115</v>
      </c>
      <c r="C36" s="46"/>
      <c r="D36" s="46"/>
      <c r="E36" s="45"/>
      <c r="F36" s="47"/>
      <c r="G36" s="45"/>
      <c r="H36" s="21"/>
      <c r="I36" s="33"/>
    </row>
    <row r="37" spans="1:9" ht="71.25" customHeight="1">
      <c r="A37" s="46" t="s">
        <v>116</v>
      </c>
      <c r="B37" s="62" t="s">
        <v>117</v>
      </c>
      <c r="C37" s="46"/>
      <c r="D37" s="46"/>
      <c r="E37" s="45"/>
      <c r="F37" s="47"/>
      <c r="G37" s="45"/>
      <c r="H37" s="21"/>
      <c r="I37" s="33"/>
    </row>
    <row r="38" spans="1:9">
      <c r="A38" s="19" t="s">
        <v>118</v>
      </c>
      <c r="B38" s="24" t="s">
        <v>119</v>
      </c>
      <c r="C38" s="19"/>
      <c r="D38" s="46"/>
      <c r="E38" s="20">
        <f>SUM(E39:E43)</f>
        <v>0.19140000000000001</v>
      </c>
      <c r="F38" s="20">
        <f t="shared" ref="F38:G38" si="5">SUM(F39:F43)</f>
        <v>135.69999999999999</v>
      </c>
      <c r="G38" s="20">
        <f t="shared" si="5"/>
        <v>511.9826599999999</v>
      </c>
      <c r="H38" s="34"/>
      <c r="I38" s="35"/>
    </row>
    <row r="39" spans="1:9" ht="62.4">
      <c r="A39" s="19"/>
      <c r="B39" s="48" t="s">
        <v>247</v>
      </c>
      <c r="C39" s="19">
        <v>2022</v>
      </c>
      <c r="D39" s="46">
        <v>0.4</v>
      </c>
      <c r="E39" s="45">
        <v>1.7999999999999999E-2</v>
      </c>
      <c r="F39" s="69">
        <v>5</v>
      </c>
      <c r="G39" s="52">
        <v>53.969520000000045</v>
      </c>
      <c r="H39" s="38" t="s">
        <v>248</v>
      </c>
      <c r="I39" s="36" t="s">
        <v>249</v>
      </c>
    </row>
    <row r="40" spans="1:9" ht="46.8">
      <c r="A40" s="19"/>
      <c r="B40" s="48" t="s">
        <v>250</v>
      </c>
      <c r="C40" s="19">
        <v>2022</v>
      </c>
      <c r="D40" s="46">
        <v>0.4</v>
      </c>
      <c r="E40" s="45">
        <v>1.3100000000000001E-2</v>
      </c>
      <c r="F40" s="69">
        <v>28</v>
      </c>
      <c r="G40" s="52">
        <v>76.843259999999987</v>
      </c>
      <c r="H40" s="38" t="s">
        <v>251</v>
      </c>
      <c r="I40" s="36" t="s">
        <v>213</v>
      </c>
    </row>
    <row r="41" spans="1:9" ht="62.4">
      <c r="A41" s="19"/>
      <c r="B41" s="48" t="s">
        <v>252</v>
      </c>
      <c r="C41" s="19">
        <v>2022</v>
      </c>
      <c r="D41" s="46">
        <v>0.4</v>
      </c>
      <c r="E41" s="45">
        <v>5.8999999999999997E-2</v>
      </c>
      <c r="F41" s="69">
        <v>15</v>
      </c>
      <c r="G41" s="52">
        <v>127.30480999999997</v>
      </c>
      <c r="H41" s="38" t="s">
        <v>253</v>
      </c>
      <c r="I41" s="36" t="s">
        <v>254</v>
      </c>
    </row>
    <row r="42" spans="1:9" ht="46.8">
      <c r="A42" s="19"/>
      <c r="B42" s="48" t="s">
        <v>255</v>
      </c>
      <c r="C42" s="19">
        <v>2022</v>
      </c>
      <c r="D42" s="46">
        <v>0.4</v>
      </c>
      <c r="E42" s="45">
        <f>0.0963</f>
        <v>9.6299999999999997E-2</v>
      </c>
      <c r="F42" s="69">
        <v>14</v>
      </c>
      <c r="G42" s="52">
        <v>199.83946999999989</v>
      </c>
      <c r="H42" s="38" t="s">
        <v>256</v>
      </c>
      <c r="I42" s="36" t="s">
        <v>236</v>
      </c>
    </row>
    <row r="43" spans="1:9" ht="62.4">
      <c r="A43" s="19"/>
      <c r="B43" s="48" t="s">
        <v>257</v>
      </c>
      <c r="C43" s="19">
        <v>2022</v>
      </c>
      <c r="D43" s="46">
        <v>0.4</v>
      </c>
      <c r="E43" s="45">
        <v>5.0000000000000001E-3</v>
      </c>
      <c r="F43" s="69">
        <v>73.7</v>
      </c>
      <c r="G43" s="52">
        <v>54.025599999999997</v>
      </c>
      <c r="H43" s="38" t="s">
        <v>121</v>
      </c>
      <c r="I43" s="36" t="s">
        <v>258</v>
      </c>
    </row>
    <row r="44" spans="1:9">
      <c r="A44" s="19" t="s">
        <v>141</v>
      </c>
      <c r="B44" s="24" t="s">
        <v>259</v>
      </c>
      <c r="C44" s="19"/>
      <c r="D44" s="46"/>
      <c r="E44" s="20">
        <f>SUM(E45:E50)</f>
        <v>0.27030000000000004</v>
      </c>
      <c r="F44" s="20">
        <f>SUM(F45:F50)</f>
        <v>185.7</v>
      </c>
      <c r="G44" s="51">
        <f>SUM(G45:G50)</f>
        <v>715.16277000000002</v>
      </c>
      <c r="H44" s="34"/>
      <c r="I44" s="35"/>
    </row>
    <row r="45" spans="1:9" ht="62.4">
      <c r="A45" s="19"/>
      <c r="B45" s="48" t="s">
        <v>247</v>
      </c>
      <c r="C45" s="19">
        <v>2022</v>
      </c>
      <c r="D45" s="46">
        <v>0.4</v>
      </c>
      <c r="E45" s="45">
        <v>3.3000000000000002E-2</v>
      </c>
      <c r="F45" s="75">
        <v>5</v>
      </c>
      <c r="G45" s="52">
        <v>75.673000000000002</v>
      </c>
      <c r="H45" s="38" t="s">
        <v>253</v>
      </c>
      <c r="I45" s="36" t="s">
        <v>249</v>
      </c>
    </row>
    <row r="46" spans="1:9" ht="46.8">
      <c r="A46" s="19"/>
      <c r="B46" s="48" t="s">
        <v>250</v>
      </c>
      <c r="C46" s="19">
        <v>2022</v>
      </c>
      <c r="D46" s="46">
        <v>0.4</v>
      </c>
      <c r="E46" s="45">
        <v>6.3500000000000001E-2</v>
      </c>
      <c r="F46" s="75">
        <v>28</v>
      </c>
      <c r="G46" s="52">
        <v>153.69300000000001</v>
      </c>
      <c r="H46" s="38" t="s">
        <v>260</v>
      </c>
      <c r="I46" s="36" t="s">
        <v>213</v>
      </c>
    </row>
    <row r="47" spans="1:9" ht="62.4">
      <c r="A47" s="19"/>
      <c r="B47" s="48" t="s">
        <v>252</v>
      </c>
      <c r="C47" s="19">
        <v>2022</v>
      </c>
      <c r="D47" s="46">
        <v>0.4</v>
      </c>
      <c r="E47" s="45">
        <v>0.02</v>
      </c>
      <c r="F47" s="75">
        <v>15</v>
      </c>
      <c r="G47" s="52">
        <v>52</v>
      </c>
      <c r="H47" s="38" t="s">
        <v>248</v>
      </c>
      <c r="I47" s="36" t="s">
        <v>254</v>
      </c>
    </row>
    <row r="48" spans="1:9" ht="46.8">
      <c r="A48" s="19"/>
      <c r="B48" s="48" t="s">
        <v>261</v>
      </c>
      <c r="C48" s="19">
        <v>2022</v>
      </c>
      <c r="D48" s="46">
        <v>0.4</v>
      </c>
      <c r="E48" s="45">
        <v>3.2000000000000001E-2</v>
      </c>
      <c r="F48" s="75">
        <v>50</v>
      </c>
      <c r="G48" s="52">
        <v>115.29677000000001</v>
      </c>
      <c r="H48" s="38" t="s">
        <v>120</v>
      </c>
      <c r="I48" s="36" t="s">
        <v>262</v>
      </c>
    </row>
    <row r="49" spans="1:9" ht="46.8">
      <c r="A49" s="19"/>
      <c r="B49" s="48" t="s">
        <v>255</v>
      </c>
      <c r="C49" s="19">
        <v>2022</v>
      </c>
      <c r="D49" s="46">
        <v>0.4</v>
      </c>
      <c r="E49" s="45">
        <f>0.0858+0.011</f>
        <v>9.6799999999999997E-2</v>
      </c>
      <c r="F49" s="75">
        <v>14</v>
      </c>
      <c r="G49" s="52">
        <v>241</v>
      </c>
      <c r="H49" s="38" t="s">
        <v>256</v>
      </c>
      <c r="I49" s="36" t="s">
        <v>236</v>
      </c>
    </row>
    <row r="50" spans="1:9" ht="62.4">
      <c r="A50" s="19"/>
      <c r="B50" s="48" t="s">
        <v>257</v>
      </c>
      <c r="C50" s="19">
        <v>2022</v>
      </c>
      <c r="D50" s="46">
        <v>0.4</v>
      </c>
      <c r="E50" s="45">
        <v>2.5000000000000001E-2</v>
      </c>
      <c r="F50" s="75">
        <v>73.7</v>
      </c>
      <c r="G50" s="52">
        <v>77.5</v>
      </c>
      <c r="H50" s="38" t="s">
        <v>121</v>
      </c>
      <c r="I50" s="36" t="s">
        <v>258</v>
      </c>
    </row>
    <row r="51" spans="1:9">
      <c r="A51" s="19" t="s">
        <v>263</v>
      </c>
      <c r="B51" s="24" t="s">
        <v>264</v>
      </c>
      <c r="C51" s="19"/>
      <c r="D51" s="46"/>
      <c r="E51" s="20">
        <f>E52</f>
        <v>8.4000000000000005E-2</v>
      </c>
      <c r="F51" s="20">
        <f t="shared" ref="F51:G51" si="6">F52</f>
        <v>15</v>
      </c>
      <c r="G51" s="51">
        <f t="shared" si="6"/>
        <v>755.798</v>
      </c>
      <c r="H51" s="34"/>
      <c r="I51" s="35"/>
    </row>
    <row r="52" spans="1:9" ht="62.4">
      <c r="A52" s="19"/>
      <c r="B52" s="48" t="s">
        <v>252</v>
      </c>
      <c r="C52" s="19">
        <v>2022</v>
      </c>
      <c r="D52" s="46">
        <v>0.4</v>
      </c>
      <c r="E52" s="45">
        <v>8.4000000000000005E-2</v>
      </c>
      <c r="F52" s="69">
        <v>15</v>
      </c>
      <c r="G52" s="52">
        <v>755.798</v>
      </c>
      <c r="H52" s="38" t="s">
        <v>248</v>
      </c>
      <c r="I52" s="36" t="s">
        <v>254</v>
      </c>
    </row>
    <row r="53" spans="1:9">
      <c r="A53" s="19" t="s">
        <v>144</v>
      </c>
      <c r="B53" s="24" t="s">
        <v>265</v>
      </c>
      <c r="C53" s="19"/>
      <c r="D53" s="46"/>
      <c r="E53" s="20">
        <f>SUM(E54:E55)</f>
        <v>6.7000000000000004E-2</v>
      </c>
      <c r="F53" s="20">
        <f t="shared" ref="F53:G53" si="7">SUM(F54:F55)</f>
        <v>19</v>
      </c>
      <c r="G53" s="51">
        <f t="shared" si="7"/>
        <v>942.76800000000003</v>
      </c>
      <c r="H53" s="34"/>
      <c r="I53" s="35"/>
    </row>
    <row r="54" spans="1:9" ht="62.4">
      <c r="A54" s="19"/>
      <c r="B54" s="48" t="s">
        <v>247</v>
      </c>
      <c r="C54" s="19">
        <v>2022</v>
      </c>
      <c r="D54" s="46">
        <v>0.4</v>
      </c>
      <c r="E54" s="45">
        <v>2.5000000000000001E-2</v>
      </c>
      <c r="F54" s="69">
        <v>5</v>
      </c>
      <c r="G54" s="52">
        <v>350.76799999999997</v>
      </c>
      <c r="H54" s="38" t="s">
        <v>248</v>
      </c>
      <c r="I54" s="36" t="s">
        <v>249</v>
      </c>
    </row>
    <row r="55" spans="1:9" ht="46.8">
      <c r="A55" s="19"/>
      <c r="B55" s="48" t="s">
        <v>255</v>
      </c>
      <c r="C55" s="19">
        <v>2022</v>
      </c>
      <c r="D55" s="46">
        <v>0.4</v>
      </c>
      <c r="E55" s="45">
        <v>4.2000000000000003E-2</v>
      </c>
      <c r="F55" s="69">
        <v>14</v>
      </c>
      <c r="G55" s="52">
        <v>592</v>
      </c>
      <c r="H55" s="38" t="s">
        <v>256</v>
      </c>
      <c r="I55" s="36" t="s">
        <v>236</v>
      </c>
    </row>
    <row r="56" spans="1:9">
      <c r="A56" s="19" t="s">
        <v>181</v>
      </c>
      <c r="B56" s="24" t="s">
        <v>182</v>
      </c>
      <c r="C56" s="19"/>
      <c r="D56" s="46"/>
      <c r="E56" s="20">
        <f>E57</f>
        <v>0.1769</v>
      </c>
      <c r="F56" s="20">
        <f t="shared" ref="F56:G56" si="8">F57</f>
        <v>100</v>
      </c>
      <c r="G56" s="51">
        <f t="shared" si="8"/>
        <v>785.5952099999995</v>
      </c>
      <c r="H56" s="34"/>
      <c r="I56" s="35"/>
    </row>
    <row r="57" spans="1:9" ht="46.8">
      <c r="A57" s="19"/>
      <c r="B57" s="48" t="s">
        <v>266</v>
      </c>
      <c r="C57" s="19">
        <v>2022</v>
      </c>
      <c r="D57" s="46">
        <v>6</v>
      </c>
      <c r="E57" s="45">
        <v>0.1769</v>
      </c>
      <c r="F57" s="38">
        <v>100</v>
      </c>
      <c r="G57" s="52">
        <v>785.5952099999995</v>
      </c>
      <c r="H57" s="38" t="s">
        <v>267</v>
      </c>
      <c r="I57" s="36" t="s">
        <v>268</v>
      </c>
    </row>
    <row r="58" spans="1:9">
      <c r="A58" s="19" t="s">
        <v>187</v>
      </c>
      <c r="B58" s="24" t="s">
        <v>188</v>
      </c>
      <c r="C58" s="19"/>
      <c r="D58" s="46"/>
      <c r="E58" s="20">
        <f>E59</f>
        <v>2.8000000000000001E-2</v>
      </c>
      <c r="F58" s="20">
        <f t="shared" ref="F58:G58" si="9">F59</f>
        <v>100</v>
      </c>
      <c r="G58" s="51">
        <f t="shared" si="9"/>
        <v>128.80000000000001</v>
      </c>
      <c r="H58" s="34"/>
      <c r="I58" s="35"/>
    </row>
    <row r="59" spans="1:9" ht="46.8">
      <c r="A59" s="19"/>
      <c r="B59" s="48" t="s">
        <v>266</v>
      </c>
      <c r="C59" s="19">
        <v>2022</v>
      </c>
      <c r="D59" s="46">
        <v>6</v>
      </c>
      <c r="E59" s="45">
        <v>2.8000000000000001E-2</v>
      </c>
      <c r="F59" s="38">
        <v>100</v>
      </c>
      <c r="G59" s="52">
        <v>128.80000000000001</v>
      </c>
      <c r="H59" s="38" t="s">
        <v>269</v>
      </c>
      <c r="I59" s="36" t="s">
        <v>268</v>
      </c>
    </row>
    <row r="60" spans="1:9">
      <c r="A60" s="19" t="s">
        <v>270</v>
      </c>
      <c r="B60" s="24" t="s">
        <v>271</v>
      </c>
      <c r="C60" s="19"/>
      <c r="D60" s="46"/>
      <c r="E60" s="20">
        <f>E61</f>
        <v>0.14560000000000001</v>
      </c>
      <c r="F60" s="20">
        <f t="shared" ref="F60:G60" si="10">F61</f>
        <v>100</v>
      </c>
      <c r="G60" s="51">
        <f t="shared" si="10"/>
        <v>4670.79</v>
      </c>
      <c r="H60" s="34"/>
      <c r="I60" s="35"/>
    </row>
    <row r="61" spans="1:9" ht="46.8">
      <c r="A61" s="19"/>
      <c r="B61" s="48" t="s">
        <v>266</v>
      </c>
      <c r="C61" s="19">
        <v>2022</v>
      </c>
      <c r="D61" s="46">
        <v>6</v>
      </c>
      <c r="E61" s="45">
        <v>0.14560000000000001</v>
      </c>
      <c r="F61" s="38">
        <v>100</v>
      </c>
      <c r="G61" s="52">
        <v>4670.79</v>
      </c>
      <c r="H61" s="38" t="s">
        <v>272</v>
      </c>
      <c r="I61" s="36" t="s">
        <v>268</v>
      </c>
    </row>
    <row r="62" spans="1:9">
      <c r="A62" s="19" t="s">
        <v>124</v>
      </c>
      <c r="B62" s="24" t="s">
        <v>125</v>
      </c>
      <c r="C62" s="19"/>
      <c r="D62" s="46"/>
      <c r="E62" s="20">
        <f>SUM(E63:E68)</f>
        <v>0.1532</v>
      </c>
      <c r="F62" s="20">
        <f t="shared" ref="F62:G62" si="11">SUM(F63:F68)</f>
        <v>309</v>
      </c>
      <c r="G62" s="51">
        <f t="shared" si="11"/>
        <v>608.69183000000021</v>
      </c>
      <c r="H62" s="34"/>
      <c r="I62" s="35"/>
    </row>
    <row r="63" spans="1:9" ht="46.8">
      <c r="A63" s="19"/>
      <c r="B63" s="48" t="s">
        <v>273</v>
      </c>
      <c r="C63" s="19">
        <v>2022</v>
      </c>
      <c r="D63" s="46">
        <v>0.4</v>
      </c>
      <c r="E63" s="45">
        <v>1.7399999999999999E-2</v>
      </c>
      <c r="F63" s="69">
        <v>14</v>
      </c>
      <c r="G63" s="52">
        <v>73.166629999999941</v>
      </c>
      <c r="H63" s="38" t="s">
        <v>274</v>
      </c>
      <c r="I63" s="36" t="s">
        <v>236</v>
      </c>
    </row>
    <row r="64" spans="1:9" ht="46.8">
      <c r="A64" s="19"/>
      <c r="B64" s="48" t="s">
        <v>275</v>
      </c>
      <c r="C64" s="19">
        <v>2022</v>
      </c>
      <c r="D64" s="46">
        <v>0.4</v>
      </c>
      <c r="E64" s="45">
        <v>3.3000000000000002E-2</v>
      </c>
      <c r="F64" s="69">
        <v>15</v>
      </c>
      <c r="G64" s="52">
        <v>67.764470000000003</v>
      </c>
      <c r="H64" s="38" t="s">
        <v>276</v>
      </c>
      <c r="I64" s="36" t="s">
        <v>227</v>
      </c>
    </row>
    <row r="65" spans="1:9" ht="62.4">
      <c r="A65" s="19"/>
      <c r="B65" s="48" t="s">
        <v>277</v>
      </c>
      <c r="C65" s="19">
        <v>2022</v>
      </c>
      <c r="D65" s="46">
        <v>0.4</v>
      </c>
      <c r="E65" s="45">
        <v>1.15E-2</v>
      </c>
      <c r="F65" s="69">
        <v>15</v>
      </c>
      <c r="G65" s="52">
        <v>67.704440000000091</v>
      </c>
      <c r="H65" s="38" t="s">
        <v>276</v>
      </c>
      <c r="I65" s="36" t="s">
        <v>227</v>
      </c>
    </row>
    <row r="66" spans="1:9" ht="46.8">
      <c r="A66" s="19"/>
      <c r="B66" s="48" t="s">
        <v>278</v>
      </c>
      <c r="C66" s="19">
        <v>2022</v>
      </c>
      <c r="D66" s="46">
        <v>0.4</v>
      </c>
      <c r="E66" s="45">
        <v>6.3500000000000001E-2</v>
      </c>
      <c r="F66" s="69">
        <v>50</v>
      </c>
      <c r="G66" s="52">
        <v>271.02563000000009</v>
      </c>
      <c r="H66" s="38" t="s">
        <v>279</v>
      </c>
      <c r="I66" s="36" t="s">
        <v>280</v>
      </c>
    </row>
    <row r="67" spans="1:9" ht="62.4">
      <c r="A67" s="19"/>
      <c r="B67" s="48" t="s">
        <v>281</v>
      </c>
      <c r="C67" s="19">
        <v>2022</v>
      </c>
      <c r="D67" s="46">
        <v>0.4</v>
      </c>
      <c r="E67" s="45">
        <v>1.8499999999999999E-2</v>
      </c>
      <c r="F67" s="69">
        <v>115</v>
      </c>
      <c r="G67" s="52">
        <v>55.916650000000004</v>
      </c>
      <c r="H67" s="38" t="s">
        <v>282</v>
      </c>
      <c r="I67" s="36" t="s">
        <v>283</v>
      </c>
    </row>
    <row r="68" spans="1:9" ht="46.8">
      <c r="A68" s="19"/>
      <c r="B68" s="48" t="s">
        <v>284</v>
      </c>
      <c r="C68" s="19">
        <v>2022</v>
      </c>
      <c r="D68" s="46">
        <v>0.4</v>
      </c>
      <c r="E68" s="45">
        <v>9.2999999999999992E-3</v>
      </c>
      <c r="F68" s="69">
        <v>100</v>
      </c>
      <c r="G68" s="52">
        <v>73.114010000000007</v>
      </c>
      <c r="H68" s="38" t="s">
        <v>285</v>
      </c>
      <c r="I68" s="36" t="s">
        <v>268</v>
      </c>
    </row>
    <row r="69" spans="1:9">
      <c r="A69" s="19" t="s">
        <v>142</v>
      </c>
      <c r="B69" s="24" t="s">
        <v>286</v>
      </c>
      <c r="C69" s="19"/>
      <c r="D69" s="46"/>
      <c r="E69" s="20">
        <f>SUM(E70:E75)</f>
        <v>0.2918</v>
      </c>
      <c r="F69" s="20">
        <f t="shared" ref="F69:G69" si="12">SUM(F70:F75)</f>
        <v>319</v>
      </c>
      <c r="G69" s="51">
        <f t="shared" si="12"/>
        <v>756.08709999999996</v>
      </c>
      <c r="H69" s="34"/>
      <c r="I69" s="35"/>
    </row>
    <row r="70" spans="1:9" ht="46.8">
      <c r="A70" s="19"/>
      <c r="B70" s="48" t="s">
        <v>287</v>
      </c>
      <c r="C70" s="19">
        <v>2022</v>
      </c>
      <c r="D70" s="46">
        <v>0.4</v>
      </c>
      <c r="E70" s="45">
        <v>2.3099999999999999E-2</v>
      </c>
      <c r="F70" s="69">
        <v>75</v>
      </c>
      <c r="G70" s="52">
        <v>119.51299</v>
      </c>
      <c r="H70" s="38" t="s">
        <v>276</v>
      </c>
      <c r="I70" s="36" t="s">
        <v>288</v>
      </c>
    </row>
    <row r="71" spans="1:9" ht="46.8">
      <c r="A71" s="19"/>
      <c r="B71" s="48" t="s">
        <v>289</v>
      </c>
      <c r="C71" s="19">
        <v>2022</v>
      </c>
      <c r="D71" s="46">
        <v>0.4</v>
      </c>
      <c r="E71" s="45">
        <v>2.3599999999999999E-2</v>
      </c>
      <c r="F71" s="69">
        <v>50</v>
      </c>
      <c r="G71" s="52">
        <f>94.57411</f>
        <v>94.574110000000005</v>
      </c>
      <c r="H71" s="38" t="s">
        <v>290</v>
      </c>
      <c r="I71" s="36" t="s">
        <v>238</v>
      </c>
    </row>
    <row r="72" spans="1:9" ht="46.8">
      <c r="A72" s="19"/>
      <c r="B72" s="48" t="s">
        <v>273</v>
      </c>
      <c r="C72" s="19">
        <v>2022</v>
      </c>
      <c r="D72" s="46">
        <v>0.4</v>
      </c>
      <c r="E72" s="45">
        <v>2.4E-2</v>
      </c>
      <c r="F72" s="69">
        <v>14</v>
      </c>
      <c r="G72" s="52">
        <v>87.2</v>
      </c>
      <c r="H72" s="38" t="s">
        <v>274</v>
      </c>
      <c r="I72" s="36" t="s">
        <v>236</v>
      </c>
    </row>
    <row r="73" spans="1:9" ht="62.4">
      <c r="A73" s="19"/>
      <c r="B73" s="48" t="s">
        <v>277</v>
      </c>
      <c r="C73" s="19">
        <v>2022</v>
      </c>
      <c r="D73" s="46">
        <v>0.4</v>
      </c>
      <c r="E73" s="45">
        <v>3.5999999999999997E-2</v>
      </c>
      <c r="F73" s="69">
        <v>15</v>
      </c>
      <c r="G73" s="52">
        <v>118.8</v>
      </c>
      <c r="H73" s="38" t="s">
        <v>274</v>
      </c>
      <c r="I73" s="36" t="s">
        <v>227</v>
      </c>
    </row>
    <row r="74" spans="1:9" ht="46.8">
      <c r="A74" s="19"/>
      <c r="B74" s="48" t="s">
        <v>278</v>
      </c>
      <c r="C74" s="19">
        <v>2022</v>
      </c>
      <c r="D74" s="46">
        <v>0.4</v>
      </c>
      <c r="E74" s="45">
        <v>0.11600000000000001</v>
      </c>
      <c r="F74" s="69">
        <v>50</v>
      </c>
      <c r="G74" s="52">
        <v>232.5</v>
      </c>
      <c r="H74" s="38" t="s">
        <v>279</v>
      </c>
      <c r="I74" s="36" t="s">
        <v>280</v>
      </c>
    </row>
    <row r="75" spans="1:9" ht="62.4">
      <c r="A75" s="19"/>
      <c r="B75" s="48" t="s">
        <v>281</v>
      </c>
      <c r="C75" s="19">
        <v>2022</v>
      </c>
      <c r="D75" s="46">
        <v>0.4</v>
      </c>
      <c r="E75" s="45">
        <v>6.9099999999999995E-2</v>
      </c>
      <c r="F75" s="69">
        <v>115</v>
      </c>
      <c r="G75" s="52">
        <v>103.5</v>
      </c>
      <c r="H75" s="38" t="s">
        <v>291</v>
      </c>
      <c r="I75" s="36" t="s">
        <v>283</v>
      </c>
    </row>
    <row r="76" spans="1:9">
      <c r="A76" s="19" t="s">
        <v>189</v>
      </c>
      <c r="B76" s="24" t="s">
        <v>292</v>
      </c>
      <c r="C76" s="19"/>
      <c r="D76" s="46"/>
      <c r="E76" s="20">
        <f>E77</f>
        <v>4.3200000000000002E-2</v>
      </c>
      <c r="F76" s="20">
        <f t="shared" ref="F76:G76" si="13">F77</f>
        <v>15</v>
      </c>
      <c r="G76" s="51">
        <f t="shared" si="13"/>
        <v>749.3</v>
      </c>
      <c r="H76" s="34"/>
      <c r="I76" s="35"/>
    </row>
    <row r="77" spans="1:9" ht="62.4">
      <c r="A77" s="19"/>
      <c r="B77" s="48" t="s">
        <v>277</v>
      </c>
      <c r="C77" s="19">
        <v>2022</v>
      </c>
      <c r="D77" s="46">
        <v>0.4</v>
      </c>
      <c r="E77" s="45">
        <v>4.3200000000000002E-2</v>
      </c>
      <c r="F77" s="69">
        <v>15</v>
      </c>
      <c r="G77" s="52">
        <v>749.3</v>
      </c>
      <c r="H77" s="38" t="s">
        <v>274</v>
      </c>
      <c r="I77" s="36" t="s">
        <v>227</v>
      </c>
    </row>
    <row r="78" spans="1:9">
      <c r="A78" s="19" t="s">
        <v>145</v>
      </c>
      <c r="B78" s="24" t="s">
        <v>293</v>
      </c>
      <c r="C78" s="19"/>
      <c r="D78" s="46"/>
      <c r="E78" s="20">
        <f>SUM(E79:E82)</f>
        <v>0.21089999999999998</v>
      </c>
      <c r="F78" s="20">
        <f t="shared" ref="F78:G78" si="14">SUM(F79:F82)</f>
        <v>279</v>
      </c>
      <c r="G78" s="51">
        <f t="shared" si="14"/>
        <v>3086.4</v>
      </c>
      <c r="H78" s="34"/>
      <c r="I78" s="35"/>
    </row>
    <row r="79" spans="1:9" ht="46.8">
      <c r="A79" s="19"/>
      <c r="B79" s="48" t="s">
        <v>273</v>
      </c>
      <c r="C79" s="19">
        <v>2022</v>
      </c>
      <c r="D79" s="46">
        <v>0.4</v>
      </c>
      <c r="E79" s="45">
        <v>8.7999999999999995E-2</v>
      </c>
      <c r="F79" s="76">
        <v>14</v>
      </c>
      <c r="G79" s="52">
        <v>1241.8</v>
      </c>
      <c r="H79" s="38" t="s">
        <v>276</v>
      </c>
      <c r="I79" s="36" t="s">
        <v>236</v>
      </c>
    </row>
    <row r="80" spans="1:9" ht="46.8">
      <c r="A80" s="19"/>
      <c r="B80" s="48" t="s">
        <v>278</v>
      </c>
      <c r="C80" s="19">
        <v>2022</v>
      </c>
      <c r="D80" s="46">
        <v>0.4</v>
      </c>
      <c r="E80" s="45">
        <v>5.7500000000000002E-2</v>
      </c>
      <c r="F80" s="76">
        <v>50</v>
      </c>
      <c r="G80" s="52">
        <v>852.8</v>
      </c>
      <c r="H80" s="38" t="s">
        <v>290</v>
      </c>
      <c r="I80" s="36" t="s">
        <v>280</v>
      </c>
    </row>
    <row r="81" spans="1:9" ht="62.4">
      <c r="A81" s="19"/>
      <c r="B81" s="48" t="s">
        <v>281</v>
      </c>
      <c r="C81" s="19">
        <v>2022</v>
      </c>
      <c r="D81" s="46">
        <v>0.4</v>
      </c>
      <c r="E81" s="45">
        <v>4.5400000000000003E-2</v>
      </c>
      <c r="F81" s="76">
        <v>115</v>
      </c>
      <c r="G81" s="52">
        <v>598</v>
      </c>
      <c r="H81" s="38" t="s">
        <v>291</v>
      </c>
      <c r="I81" s="36" t="s">
        <v>283</v>
      </c>
    </row>
    <row r="82" spans="1:9" ht="46.8">
      <c r="A82" s="19"/>
      <c r="B82" s="48" t="s">
        <v>284</v>
      </c>
      <c r="C82" s="19">
        <v>2022</v>
      </c>
      <c r="D82" s="46">
        <v>0.4</v>
      </c>
      <c r="E82" s="45">
        <v>0.02</v>
      </c>
      <c r="F82" s="76">
        <v>100</v>
      </c>
      <c r="G82" s="52">
        <v>393.8</v>
      </c>
      <c r="H82" s="38" t="s">
        <v>126</v>
      </c>
      <c r="I82" s="36" t="s">
        <v>268</v>
      </c>
    </row>
    <row r="83" spans="1:9">
      <c r="A83" s="19" t="s">
        <v>127</v>
      </c>
      <c r="B83" s="24" t="s">
        <v>128</v>
      </c>
      <c r="C83" s="19"/>
      <c r="D83" s="46"/>
      <c r="E83" s="20">
        <f>SUM(E84:E85)</f>
        <v>6.7000000000000004E-2</v>
      </c>
      <c r="F83" s="20">
        <f t="shared" ref="F83:G83" si="15">SUM(F84:F85)</f>
        <v>709</v>
      </c>
      <c r="G83" s="51">
        <f t="shared" si="15"/>
        <v>243.85061999999994</v>
      </c>
      <c r="H83" s="34"/>
      <c r="I83" s="35"/>
    </row>
    <row r="84" spans="1:9" ht="46.8">
      <c r="A84" s="19"/>
      <c r="B84" s="48" t="s">
        <v>294</v>
      </c>
      <c r="C84" s="19">
        <v>2022</v>
      </c>
      <c r="D84" s="46">
        <v>6</v>
      </c>
      <c r="E84" s="45">
        <v>2.5000000000000001E-2</v>
      </c>
      <c r="F84" s="70">
        <v>400</v>
      </c>
      <c r="G84" s="52">
        <v>133.34566999999993</v>
      </c>
      <c r="H84" s="38" t="s">
        <v>183</v>
      </c>
      <c r="I84" s="36" t="s">
        <v>295</v>
      </c>
    </row>
    <row r="85" spans="1:9" ht="46.8">
      <c r="A85" s="19"/>
      <c r="B85" s="48" t="s">
        <v>296</v>
      </c>
      <c r="C85" s="19">
        <v>2022</v>
      </c>
      <c r="D85" s="46">
        <v>6</v>
      </c>
      <c r="E85" s="45">
        <v>4.2000000000000003E-2</v>
      </c>
      <c r="F85" s="70">
        <v>309</v>
      </c>
      <c r="G85" s="52">
        <v>110.50494999999999</v>
      </c>
      <c r="H85" s="38" t="s">
        <v>297</v>
      </c>
      <c r="I85" s="36" t="s">
        <v>225</v>
      </c>
    </row>
    <row r="86" spans="1:9">
      <c r="A86" s="19" t="s">
        <v>143</v>
      </c>
      <c r="B86" s="24" t="s">
        <v>298</v>
      </c>
      <c r="C86" s="19"/>
      <c r="D86" s="46"/>
      <c r="E86" s="20">
        <f>E87</f>
        <v>2.7E-2</v>
      </c>
      <c r="F86" s="20">
        <f t="shared" ref="F86:G86" si="16">F87</f>
        <v>400</v>
      </c>
      <c r="G86" s="51">
        <f t="shared" si="16"/>
        <v>59.4</v>
      </c>
      <c r="H86" s="34"/>
      <c r="I86" s="35"/>
    </row>
    <row r="87" spans="1:9" ht="46.8">
      <c r="A87" s="19"/>
      <c r="B87" s="48" t="s">
        <v>294</v>
      </c>
      <c r="C87" s="19">
        <v>2022</v>
      </c>
      <c r="D87" s="46">
        <v>6</v>
      </c>
      <c r="E87" s="45">
        <v>2.7E-2</v>
      </c>
      <c r="F87" s="38">
        <v>400</v>
      </c>
      <c r="G87" s="52">
        <v>59.4</v>
      </c>
      <c r="H87" s="38" t="s">
        <v>297</v>
      </c>
      <c r="I87" s="36" t="s">
        <v>295</v>
      </c>
    </row>
    <row r="88" spans="1:9">
      <c r="A88" s="19" t="s">
        <v>190</v>
      </c>
      <c r="B88" s="24" t="s">
        <v>299</v>
      </c>
      <c r="C88" s="19"/>
      <c r="D88" s="46"/>
      <c r="E88" s="20">
        <f>E89</f>
        <v>0.108</v>
      </c>
      <c r="F88" s="20">
        <f t="shared" ref="F88:G88" si="17">F89</f>
        <v>400</v>
      </c>
      <c r="G88" s="51">
        <f t="shared" si="17"/>
        <v>925.7</v>
      </c>
      <c r="H88" s="34"/>
      <c r="I88" s="35"/>
    </row>
    <row r="89" spans="1:9" ht="46.8">
      <c r="A89" s="19"/>
      <c r="B89" s="48" t="s">
        <v>294</v>
      </c>
      <c r="C89" s="19">
        <v>2022</v>
      </c>
      <c r="D89" s="46">
        <v>6</v>
      </c>
      <c r="E89" s="45">
        <v>0.108</v>
      </c>
      <c r="F89" s="38">
        <v>400</v>
      </c>
      <c r="G89" s="52">
        <v>925.7</v>
      </c>
      <c r="H89" s="38" t="s">
        <v>297</v>
      </c>
      <c r="I89" s="36" t="s">
        <v>295</v>
      </c>
    </row>
    <row r="90" spans="1:9">
      <c r="A90" s="19" t="s">
        <v>300</v>
      </c>
      <c r="B90" s="24" t="s">
        <v>301</v>
      </c>
      <c r="C90" s="19"/>
      <c r="D90" s="46"/>
      <c r="E90" s="20">
        <f>SUM(E91:E106)</f>
        <v>0.86599999999999988</v>
      </c>
      <c r="F90" s="20">
        <f>SUM(F91:F106)</f>
        <v>2815.5</v>
      </c>
      <c r="G90" s="51">
        <f>SUM(G91:G106)</f>
        <v>2986.20813</v>
      </c>
      <c r="H90" s="34"/>
      <c r="I90" s="35"/>
    </row>
    <row r="91" spans="1:9" ht="46.8">
      <c r="A91" s="19"/>
      <c r="B91" s="48" t="s">
        <v>302</v>
      </c>
      <c r="C91" s="19">
        <v>2022</v>
      </c>
      <c r="D91" s="46">
        <v>0.4</v>
      </c>
      <c r="E91" s="45">
        <v>1.2E-2</v>
      </c>
      <c r="F91" s="69">
        <v>100</v>
      </c>
      <c r="G91" s="52">
        <v>113.88767999999982</v>
      </c>
      <c r="H91" s="38" t="s">
        <v>131</v>
      </c>
      <c r="I91" s="36" t="s">
        <v>236</v>
      </c>
    </row>
    <row r="92" spans="1:9" ht="46.8">
      <c r="A92" s="19"/>
      <c r="B92" s="48" t="s">
        <v>303</v>
      </c>
      <c r="C92" s="19">
        <v>2022</v>
      </c>
      <c r="D92" s="46">
        <v>0.4</v>
      </c>
      <c r="E92" s="45">
        <v>6.3799999999999996E-2</v>
      </c>
      <c r="F92" s="69">
        <v>130</v>
      </c>
      <c r="G92" s="52">
        <v>278.46085000000039</v>
      </c>
      <c r="H92" s="38" t="s">
        <v>304</v>
      </c>
      <c r="I92" s="36" t="s">
        <v>236</v>
      </c>
    </row>
    <row r="93" spans="1:9" ht="46.8">
      <c r="A93" s="19"/>
      <c r="B93" s="48" t="s">
        <v>305</v>
      </c>
      <c r="C93" s="19">
        <v>2022</v>
      </c>
      <c r="D93" s="46">
        <v>0.4</v>
      </c>
      <c r="E93" s="45">
        <v>1.2E-2</v>
      </c>
      <c r="F93" s="69">
        <v>145</v>
      </c>
      <c r="G93" s="52">
        <v>68.921600000000012</v>
      </c>
      <c r="H93" s="38" t="s">
        <v>306</v>
      </c>
      <c r="I93" s="36" t="s">
        <v>307</v>
      </c>
    </row>
    <row r="94" spans="1:9" ht="46.8">
      <c r="A94" s="19"/>
      <c r="B94" s="48" t="s">
        <v>308</v>
      </c>
      <c r="C94" s="19">
        <v>2022</v>
      </c>
      <c r="D94" s="46">
        <v>0.4</v>
      </c>
      <c r="E94" s="45">
        <v>5.8700000000000002E-2</v>
      </c>
      <c r="F94" s="69">
        <v>137.5</v>
      </c>
      <c r="G94" s="52">
        <v>177.69958999999994</v>
      </c>
      <c r="H94" s="38" t="s">
        <v>306</v>
      </c>
      <c r="I94" s="36" t="s">
        <v>309</v>
      </c>
    </row>
    <row r="95" spans="1:9" ht="46.8">
      <c r="A95" s="19"/>
      <c r="B95" s="48" t="s">
        <v>310</v>
      </c>
      <c r="C95" s="19">
        <v>2022</v>
      </c>
      <c r="D95" s="46">
        <v>0.4</v>
      </c>
      <c r="E95" s="45">
        <v>1.1599999999999999E-2</v>
      </c>
      <c r="F95" s="69">
        <v>400</v>
      </c>
      <c r="G95" s="52">
        <v>85.350059999999985</v>
      </c>
      <c r="H95" s="38" t="s">
        <v>311</v>
      </c>
      <c r="I95" s="36" t="s">
        <v>312</v>
      </c>
    </row>
    <row r="96" spans="1:9" ht="46.8">
      <c r="A96" s="19"/>
      <c r="B96" s="48" t="s">
        <v>313</v>
      </c>
      <c r="C96" s="19">
        <v>2022</v>
      </c>
      <c r="D96" s="46">
        <v>0.4</v>
      </c>
      <c r="E96" s="45">
        <v>1.1599999999999999E-2</v>
      </c>
      <c r="F96" s="69">
        <v>400</v>
      </c>
      <c r="G96" s="52">
        <v>92.393839999999997</v>
      </c>
      <c r="H96" s="38" t="s">
        <v>314</v>
      </c>
      <c r="I96" s="36" t="s">
        <v>312</v>
      </c>
    </row>
    <row r="97" spans="1:9" ht="62.4">
      <c r="A97" s="19"/>
      <c r="B97" s="48" t="s">
        <v>315</v>
      </c>
      <c r="C97" s="19">
        <v>2022</v>
      </c>
      <c r="D97" s="46">
        <v>0.4</v>
      </c>
      <c r="E97" s="45">
        <v>0.1086</v>
      </c>
      <c r="F97" s="69">
        <v>100</v>
      </c>
      <c r="G97" s="52">
        <f>4040.66795-G113-G136</f>
        <v>307.96794999999975</v>
      </c>
      <c r="H97" s="38" t="s">
        <v>316</v>
      </c>
      <c r="I97" s="36" t="s">
        <v>288</v>
      </c>
    </row>
    <row r="98" spans="1:9" ht="46.8">
      <c r="A98" s="19"/>
      <c r="B98" s="48" t="s">
        <v>317</v>
      </c>
      <c r="C98" s="19">
        <v>2022</v>
      </c>
      <c r="D98" s="46">
        <v>0.4</v>
      </c>
      <c r="E98" s="45">
        <v>3.3300000000000003E-2</v>
      </c>
      <c r="F98" s="69">
        <v>150</v>
      </c>
      <c r="G98" s="52">
        <v>95.97</v>
      </c>
      <c r="H98" s="38" t="s">
        <v>314</v>
      </c>
      <c r="I98" s="36" t="s">
        <v>318</v>
      </c>
    </row>
    <row r="99" spans="1:9" ht="62.4">
      <c r="A99" s="19"/>
      <c r="B99" s="48" t="s">
        <v>319</v>
      </c>
      <c r="C99" s="19">
        <v>2022</v>
      </c>
      <c r="D99" s="46">
        <v>0.4</v>
      </c>
      <c r="E99" s="45">
        <v>0.1135</v>
      </c>
      <c r="F99" s="69">
        <v>100</v>
      </c>
      <c r="G99" s="52">
        <f>1298.44467-G114-G137</f>
        <v>263.16467</v>
      </c>
      <c r="H99" s="38" t="s">
        <v>306</v>
      </c>
      <c r="I99" s="36" t="s">
        <v>320</v>
      </c>
    </row>
    <row r="100" spans="1:9" ht="46.8">
      <c r="A100" s="19"/>
      <c r="B100" s="48" t="s">
        <v>321</v>
      </c>
      <c r="C100" s="19">
        <v>2022</v>
      </c>
      <c r="D100" s="46">
        <v>0.4</v>
      </c>
      <c r="E100" s="45">
        <v>2.9700000000000001E-2</v>
      </c>
      <c r="F100" s="69">
        <v>150</v>
      </c>
      <c r="G100" s="52">
        <v>74.900000000000006</v>
      </c>
      <c r="H100" s="38" t="s">
        <v>131</v>
      </c>
      <c r="I100" s="36" t="s">
        <v>318</v>
      </c>
    </row>
    <row r="101" spans="1:9" ht="46.8">
      <c r="A101" s="19"/>
      <c r="B101" s="48" t="s">
        <v>322</v>
      </c>
      <c r="C101" s="19">
        <v>2022</v>
      </c>
      <c r="D101" s="46">
        <v>0.4</v>
      </c>
      <c r="E101" s="45">
        <v>0.18149999999999999</v>
      </c>
      <c r="F101" s="69">
        <v>80</v>
      </c>
      <c r="G101" s="52">
        <f>2775.16189-G120-G130</f>
        <v>764.16188999999986</v>
      </c>
      <c r="H101" s="38" t="s">
        <v>131</v>
      </c>
      <c r="I101" s="36" t="s">
        <v>323</v>
      </c>
    </row>
    <row r="102" spans="1:9" ht="46.8">
      <c r="A102" s="19"/>
      <c r="B102" s="48" t="s">
        <v>324</v>
      </c>
      <c r="C102" s="19">
        <v>2022</v>
      </c>
      <c r="D102" s="46">
        <v>0.4</v>
      </c>
      <c r="E102" s="45">
        <v>0.1061</v>
      </c>
      <c r="F102" s="69">
        <v>100</v>
      </c>
      <c r="G102" s="52">
        <v>251.04</v>
      </c>
      <c r="H102" s="38" t="s">
        <v>314</v>
      </c>
      <c r="I102" s="36" t="s">
        <v>325</v>
      </c>
    </row>
    <row r="103" spans="1:9" ht="78">
      <c r="A103" s="19"/>
      <c r="B103" s="48" t="s">
        <v>326</v>
      </c>
      <c r="C103" s="19">
        <v>2022</v>
      </c>
      <c r="D103" s="46">
        <v>0.4</v>
      </c>
      <c r="E103" s="45">
        <v>3.9100000000000003E-2</v>
      </c>
      <c r="F103" s="69">
        <v>125</v>
      </c>
      <c r="G103" s="52">
        <v>139.29</v>
      </c>
      <c r="H103" s="38" t="s">
        <v>327</v>
      </c>
      <c r="I103" s="36" t="s">
        <v>328</v>
      </c>
    </row>
    <row r="104" spans="1:9" ht="46.8">
      <c r="A104" s="19"/>
      <c r="B104" s="48" t="s">
        <v>329</v>
      </c>
      <c r="C104" s="19">
        <v>2022</v>
      </c>
      <c r="D104" s="46">
        <v>0.4</v>
      </c>
      <c r="E104" s="45">
        <v>1.5599999999999999E-2</v>
      </c>
      <c r="F104" s="69">
        <v>400</v>
      </c>
      <c r="G104" s="52">
        <v>66.42</v>
      </c>
      <c r="H104" s="38" t="s">
        <v>134</v>
      </c>
      <c r="I104" s="36" t="s">
        <v>312</v>
      </c>
    </row>
    <row r="105" spans="1:9" ht="62.4">
      <c r="A105" s="19"/>
      <c r="B105" s="48" t="s">
        <v>330</v>
      </c>
      <c r="C105" s="19">
        <v>2022</v>
      </c>
      <c r="D105" s="46">
        <v>0.4</v>
      </c>
      <c r="E105" s="45">
        <v>2.5399999999999999E-2</v>
      </c>
      <c r="F105" s="69">
        <v>149</v>
      </c>
      <c r="G105" s="52">
        <v>78.819999999999993</v>
      </c>
      <c r="H105" s="38" t="s">
        <v>314</v>
      </c>
      <c r="I105" s="36" t="s">
        <v>238</v>
      </c>
    </row>
    <row r="106" spans="1:9" ht="62.4">
      <c r="A106" s="19"/>
      <c r="B106" s="48" t="s">
        <v>331</v>
      </c>
      <c r="C106" s="19">
        <v>2022</v>
      </c>
      <c r="D106" s="46">
        <v>0.4</v>
      </c>
      <c r="E106" s="45">
        <v>4.3499999999999997E-2</v>
      </c>
      <c r="F106" s="69">
        <v>149</v>
      </c>
      <c r="G106" s="52">
        <v>127.76</v>
      </c>
      <c r="H106" s="38" t="s">
        <v>131</v>
      </c>
      <c r="I106" s="36" t="s">
        <v>238</v>
      </c>
    </row>
    <row r="107" spans="1:9">
      <c r="A107" s="19" t="s">
        <v>332</v>
      </c>
      <c r="B107" s="24" t="s">
        <v>333</v>
      </c>
      <c r="C107" s="19"/>
      <c r="D107" s="46"/>
      <c r="E107" s="20">
        <f>SUM(E108:E109)</f>
        <v>3.3700000000000001E-2</v>
      </c>
      <c r="F107" s="20">
        <f t="shared" ref="F107:G107" si="18">SUM(F108:F109)</f>
        <v>596.6</v>
      </c>
      <c r="G107" s="51">
        <f t="shared" si="18"/>
        <v>135.24311</v>
      </c>
      <c r="H107" s="34"/>
      <c r="I107" s="35"/>
    </row>
    <row r="108" spans="1:9" ht="46.8">
      <c r="A108" s="19"/>
      <c r="B108" s="48" t="s">
        <v>334</v>
      </c>
      <c r="C108" s="19">
        <v>2022</v>
      </c>
      <c r="D108" s="46">
        <v>0.4</v>
      </c>
      <c r="E108" s="45">
        <v>1.49E-2</v>
      </c>
      <c r="F108" s="69">
        <v>298.3</v>
      </c>
      <c r="G108" s="52">
        <v>61.11092</v>
      </c>
      <c r="H108" s="38" t="s">
        <v>184</v>
      </c>
      <c r="I108" s="36" t="s">
        <v>217</v>
      </c>
    </row>
    <row r="109" spans="1:9" ht="46.8">
      <c r="A109" s="19"/>
      <c r="B109" s="48" t="s">
        <v>335</v>
      </c>
      <c r="C109" s="19">
        <v>2022</v>
      </c>
      <c r="D109" s="46">
        <v>0.4</v>
      </c>
      <c r="E109" s="45">
        <v>1.8800000000000001E-2</v>
      </c>
      <c r="F109" s="69">
        <v>298.3</v>
      </c>
      <c r="G109" s="52">
        <v>74.132189999999994</v>
      </c>
      <c r="H109" s="38" t="s">
        <v>184</v>
      </c>
      <c r="I109" s="36" t="s">
        <v>217</v>
      </c>
    </row>
    <row r="110" spans="1:9">
      <c r="A110" s="19" t="s">
        <v>336</v>
      </c>
      <c r="B110" s="24" t="s">
        <v>337</v>
      </c>
      <c r="C110" s="19"/>
      <c r="D110" s="46"/>
      <c r="E110" s="20">
        <f>SUM(E111:E125)</f>
        <v>0.51430000000000009</v>
      </c>
      <c r="F110" s="20">
        <f t="shared" ref="F110:G110" si="19">SUM(F111:F125)</f>
        <v>2415.5</v>
      </c>
      <c r="G110" s="51">
        <f t="shared" si="19"/>
        <v>1665.04</v>
      </c>
      <c r="H110" s="34"/>
      <c r="I110" s="35"/>
    </row>
    <row r="111" spans="1:9" ht="46.8">
      <c r="A111" s="19"/>
      <c r="B111" s="48" t="s">
        <v>302</v>
      </c>
      <c r="C111" s="19">
        <v>2022</v>
      </c>
      <c r="D111" s="46">
        <v>0.4</v>
      </c>
      <c r="E111" s="45">
        <v>2.6499999999999999E-2</v>
      </c>
      <c r="F111" s="69">
        <v>100</v>
      </c>
      <c r="G111" s="52">
        <v>105.5</v>
      </c>
      <c r="H111" s="38" t="s">
        <v>314</v>
      </c>
      <c r="I111" s="36" t="s">
        <v>236</v>
      </c>
    </row>
    <row r="112" spans="1:9" ht="46.8">
      <c r="A112" s="19"/>
      <c r="B112" s="48" t="s">
        <v>303</v>
      </c>
      <c r="C112" s="19">
        <v>2022</v>
      </c>
      <c r="D112" s="46">
        <v>0.4</v>
      </c>
      <c r="E112" s="45">
        <v>9.2499999999999999E-2</v>
      </c>
      <c r="F112" s="69">
        <v>130</v>
      </c>
      <c r="G112" s="52">
        <v>325.5</v>
      </c>
      <c r="H112" s="38" t="s">
        <v>304</v>
      </c>
      <c r="I112" s="36" t="s">
        <v>236</v>
      </c>
    </row>
    <row r="113" spans="1:9" ht="62.4">
      <c r="A113" s="19"/>
      <c r="B113" s="48" t="s">
        <v>315</v>
      </c>
      <c r="C113" s="19">
        <v>2022</v>
      </c>
      <c r="D113" s="46">
        <v>0.4</v>
      </c>
      <c r="E113" s="45">
        <v>0.02</v>
      </c>
      <c r="F113" s="69">
        <v>100</v>
      </c>
      <c r="G113" s="52">
        <v>72.3</v>
      </c>
      <c r="H113" s="38" t="s">
        <v>338</v>
      </c>
      <c r="I113" s="36" t="s">
        <v>288</v>
      </c>
    </row>
    <row r="114" spans="1:9" ht="62.4">
      <c r="A114" s="19"/>
      <c r="B114" s="48" t="s">
        <v>319</v>
      </c>
      <c r="C114" s="19">
        <v>2022</v>
      </c>
      <c r="D114" s="46">
        <v>0.4</v>
      </c>
      <c r="E114" s="45">
        <v>5.8799999999999998E-2</v>
      </c>
      <c r="F114" s="69">
        <v>100</v>
      </c>
      <c r="G114" s="52">
        <v>200.9</v>
      </c>
      <c r="H114" s="38" t="s">
        <v>306</v>
      </c>
      <c r="I114" s="36" t="s">
        <v>320</v>
      </c>
    </row>
    <row r="115" spans="1:9" ht="46.8">
      <c r="A115" s="19"/>
      <c r="B115" s="48" t="s">
        <v>317</v>
      </c>
      <c r="C115" s="19">
        <v>2022</v>
      </c>
      <c r="D115" s="46">
        <v>0.4</v>
      </c>
      <c r="E115" s="45">
        <v>1.2E-2</v>
      </c>
      <c r="F115" s="69">
        <v>150</v>
      </c>
      <c r="G115" s="52">
        <v>40.799999999999997</v>
      </c>
      <c r="H115" s="38" t="s">
        <v>314</v>
      </c>
      <c r="I115" s="36" t="s">
        <v>318</v>
      </c>
    </row>
    <row r="116" spans="1:9" ht="46.8">
      <c r="A116" s="19"/>
      <c r="B116" s="48" t="s">
        <v>321</v>
      </c>
      <c r="C116" s="19">
        <v>2022</v>
      </c>
      <c r="D116" s="46">
        <v>0.4</v>
      </c>
      <c r="E116" s="45">
        <v>1.6E-2</v>
      </c>
      <c r="F116" s="69">
        <v>150</v>
      </c>
      <c r="G116" s="52">
        <v>54.4</v>
      </c>
      <c r="H116" s="38" t="s">
        <v>314</v>
      </c>
      <c r="I116" s="36" t="s">
        <v>318</v>
      </c>
    </row>
    <row r="117" spans="1:9" ht="46.8">
      <c r="A117" s="19"/>
      <c r="B117" s="48" t="s">
        <v>324</v>
      </c>
      <c r="C117" s="19">
        <v>2022</v>
      </c>
      <c r="D117" s="46">
        <v>0.4</v>
      </c>
      <c r="E117" s="45">
        <v>1.18E-2</v>
      </c>
      <c r="F117" s="69">
        <v>100</v>
      </c>
      <c r="G117" s="52">
        <v>42.3</v>
      </c>
      <c r="H117" s="38" t="s">
        <v>131</v>
      </c>
      <c r="I117" s="36" t="s">
        <v>325</v>
      </c>
    </row>
    <row r="118" spans="1:9" ht="78">
      <c r="A118" s="19"/>
      <c r="B118" s="48" t="s">
        <v>326</v>
      </c>
      <c r="C118" s="19">
        <v>2022</v>
      </c>
      <c r="D118" s="46">
        <v>0.4</v>
      </c>
      <c r="E118" s="45">
        <v>3.1199999999999999E-2</v>
      </c>
      <c r="F118" s="69">
        <v>125</v>
      </c>
      <c r="G118" s="52">
        <v>162.30000000000001</v>
      </c>
      <c r="H118" s="38" t="s">
        <v>327</v>
      </c>
      <c r="I118" s="36" t="s">
        <v>328</v>
      </c>
    </row>
    <row r="119" spans="1:9" ht="62.4">
      <c r="A119" s="19"/>
      <c r="B119" s="48" t="s">
        <v>330</v>
      </c>
      <c r="C119" s="19">
        <v>2022</v>
      </c>
      <c r="D119" s="46">
        <v>0.4</v>
      </c>
      <c r="E119" s="45">
        <v>2.5999999999999999E-2</v>
      </c>
      <c r="F119" s="69">
        <v>149</v>
      </c>
      <c r="G119" s="52">
        <v>93.13</v>
      </c>
      <c r="H119" s="38" t="s">
        <v>314</v>
      </c>
      <c r="I119" s="36" t="s">
        <v>238</v>
      </c>
    </row>
    <row r="120" spans="1:9" ht="46.8">
      <c r="A120" s="19"/>
      <c r="B120" s="48" t="s">
        <v>322</v>
      </c>
      <c r="C120" s="19">
        <v>2022</v>
      </c>
      <c r="D120" s="46">
        <v>0.4</v>
      </c>
      <c r="E120" s="45">
        <v>2.8000000000000001E-2</v>
      </c>
      <c r="F120" s="69">
        <v>80</v>
      </c>
      <c r="G120" s="52">
        <v>42</v>
      </c>
      <c r="H120" s="38" t="s">
        <v>131</v>
      </c>
      <c r="I120" s="36" t="s">
        <v>323</v>
      </c>
    </row>
    <row r="121" spans="1:9" ht="62.4">
      <c r="A121" s="19"/>
      <c r="B121" s="48" t="s">
        <v>331</v>
      </c>
      <c r="C121" s="19">
        <v>2022</v>
      </c>
      <c r="D121" s="46">
        <v>0.4</v>
      </c>
      <c r="E121" s="45">
        <v>5.8000000000000003E-2</v>
      </c>
      <c r="F121" s="69">
        <v>149</v>
      </c>
      <c r="G121" s="52">
        <v>180.5</v>
      </c>
      <c r="H121" s="38" t="s">
        <v>339</v>
      </c>
      <c r="I121" s="36" t="s">
        <v>238</v>
      </c>
    </row>
    <row r="122" spans="1:9" ht="46.8">
      <c r="A122" s="19"/>
      <c r="B122" s="48" t="s">
        <v>305</v>
      </c>
      <c r="C122" s="19">
        <v>2022</v>
      </c>
      <c r="D122" s="46">
        <v>0.4</v>
      </c>
      <c r="E122" s="45">
        <v>2.9000000000000001E-2</v>
      </c>
      <c r="F122" s="69">
        <v>145</v>
      </c>
      <c r="G122" s="52">
        <v>84.1</v>
      </c>
      <c r="H122" s="38" t="s">
        <v>306</v>
      </c>
      <c r="I122" s="36" t="s">
        <v>307</v>
      </c>
    </row>
    <row r="123" spans="1:9" ht="46.8">
      <c r="A123" s="19"/>
      <c r="B123" s="48" t="s">
        <v>308</v>
      </c>
      <c r="C123" s="19">
        <v>2022</v>
      </c>
      <c r="D123" s="46">
        <v>0.4</v>
      </c>
      <c r="E123" s="45">
        <v>9.6500000000000002E-2</v>
      </c>
      <c r="F123" s="69">
        <v>137.5</v>
      </c>
      <c r="G123" s="52">
        <v>223.31</v>
      </c>
      <c r="H123" s="38" t="s">
        <v>340</v>
      </c>
      <c r="I123" s="36" t="s">
        <v>309</v>
      </c>
    </row>
    <row r="124" spans="1:9" ht="46.8">
      <c r="A124" s="19"/>
      <c r="B124" s="48" t="s">
        <v>310</v>
      </c>
      <c r="C124" s="19">
        <v>2022</v>
      </c>
      <c r="D124" s="46">
        <v>0.4</v>
      </c>
      <c r="E124" s="45">
        <v>4.0000000000000001E-3</v>
      </c>
      <c r="F124" s="69">
        <v>400</v>
      </c>
      <c r="G124" s="52">
        <v>18.5</v>
      </c>
      <c r="H124" s="38" t="s">
        <v>311</v>
      </c>
      <c r="I124" s="36" t="s">
        <v>312</v>
      </c>
    </row>
    <row r="125" spans="1:9" ht="46.8">
      <c r="A125" s="19"/>
      <c r="B125" s="48" t="s">
        <v>313</v>
      </c>
      <c r="C125" s="19">
        <v>2022</v>
      </c>
      <c r="D125" s="46">
        <v>0.4</v>
      </c>
      <c r="E125" s="45">
        <v>4.0000000000000001E-3</v>
      </c>
      <c r="F125" s="69">
        <v>400</v>
      </c>
      <c r="G125" s="52">
        <v>19.5</v>
      </c>
      <c r="H125" s="38" t="s">
        <v>314</v>
      </c>
      <c r="I125" s="36" t="s">
        <v>312</v>
      </c>
    </row>
    <row r="126" spans="1:9">
      <c r="A126" s="19" t="s">
        <v>341</v>
      </c>
      <c r="B126" s="24" t="s">
        <v>342</v>
      </c>
      <c r="C126" s="19"/>
      <c r="D126" s="46"/>
      <c r="E126" s="20">
        <f>SUM(E127:E132)</f>
        <v>0.51</v>
      </c>
      <c r="F126" s="20">
        <f t="shared" ref="F126:G126" si="20">SUM(F127:F132)</f>
        <v>1580</v>
      </c>
      <c r="G126" s="51">
        <f t="shared" si="20"/>
        <v>6153.53</v>
      </c>
      <c r="H126" s="34"/>
      <c r="I126" s="35"/>
    </row>
    <row r="127" spans="1:9" ht="46.8">
      <c r="A127" s="19"/>
      <c r="B127" s="48" t="s">
        <v>317</v>
      </c>
      <c r="C127" s="19">
        <v>2022</v>
      </c>
      <c r="D127" s="46">
        <v>0.4</v>
      </c>
      <c r="E127" s="45">
        <v>7.5999999999999998E-2</v>
      </c>
      <c r="F127" s="69">
        <v>150</v>
      </c>
      <c r="G127" s="52">
        <v>952</v>
      </c>
      <c r="H127" s="38" t="s">
        <v>314</v>
      </c>
      <c r="I127" s="36" t="s">
        <v>318</v>
      </c>
    </row>
    <row r="128" spans="1:9" ht="46.8">
      <c r="A128" s="19"/>
      <c r="B128" s="48" t="s">
        <v>321</v>
      </c>
      <c r="C128" s="19">
        <v>2022</v>
      </c>
      <c r="D128" s="46">
        <v>0.4</v>
      </c>
      <c r="E128" s="45">
        <v>0.06</v>
      </c>
      <c r="F128" s="69">
        <v>150</v>
      </c>
      <c r="G128" s="52">
        <v>752</v>
      </c>
      <c r="H128" s="38" t="s">
        <v>131</v>
      </c>
      <c r="I128" s="36" t="s">
        <v>318</v>
      </c>
    </row>
    <row r="129" spans="1:9" ht="46.8">
      <c r="A129" s="19"/>
      <c r="B129" s="48" t="s">
        <v>329</v>
      </c>
      <c r="C129" s="19">
        <v>2022</v>
      </c>
      <c r="D129" s="46">
        <v>0.4</v>
      </c>
      <c r="E129" s="45">
        <v>5.7000000000000002E-2</v>
      </c>
      <c r="F129" s="69">
        <v>400</v>
      </c>
      <c r="G129" s="52">
        <v>789.13</v>
      </c>
      <c r="H129" s="38" t="s">
        <v>311</v>
      </c>
      <c r="I129" s="36" t="s">
        <v>312</v>
      </c>
    </row>
    <row r="130" spans="1:9" ht="46.8">
      <c r="A130" s="19"/>
      <c r="B130" s="48" t="s">
        <v>322</v>
      </c>
      <c r="C130" s="19">
        <v>2022</v>
      </c>
      <c r="D130" s="46">
        <v>0.4</v>
      </c>
      <c r="E130" s="45">
        <v>0.20300000000000001</v>
      </c>
      <c r="F130" s="69">
        <v>80</v>
      </c>
      <c r="G130" s="52">
        <v>1969</v>
      </c>
      <c r="H130" s="38" t="s">
        <v>131</v>
      </c>
      <c r="I130" s="36" t="s">
        <v>323</v>
      </c>
    </row>
    <row r="131" spans="1:9" ht="46.8">
      <c r="A131" s="19"/>
      <c r="B131" s="48" t="s">
        <v>310</v>
      </c>
      <c r="C131" s="19">
        <v>2022</v>
      </c>
      <c r="D131" s="46">
        <v>0.4</v>
      </c>
      <c r="E131" s="45">
        <v>5.7000000000000002E-2</v>
      </c>
      <c r="F131" s="69">
        <v>400</v>
      </c>
      <c r="G131" s="52">
        <v>751.7</v>
      </c>
      <c r="H131" s="38" t="s">
        <v>134</v>
      </c>
      <c r="I131" s="36" t="s">
        <v>312</v>
      </c>
    </row>
    <row r="132" spans="1:9" ht="46.8">
      <c r="A132" s="19"/>
      <c r="B132" s="48" t="s">
        <v>313</v>
      </c>
      <c r="C132" s="19">
        <v>2022</v>
      </c>
      <c r="D132" s="46">
        <v>0.4</v>
      </c>
      <c r="E132" s="45">
        <v>5.7000000000000002E-2</v>
      </c>
      <c r="F132" s="69">
        <v>400</v>
      </c>
      <c r="G132" s="52">
        <v>939.7</v>
      </c>
      <c r="H132" s="38" t="s">
        <v>131</v>
      </c>
      <c r="I132" s="36" t="s">
        <v>312</v>
      </c>
    </row>
    <row r="133" spans="1:9">
      <c r="A133" s="19" t="s">
        <v>343</v>
      </c>
      <c r="B133" s="24" t="s">
        <v>344</v>
      </c>
      <c r="C133" s="19"/>
      <c r="D133" s="46"/>
      <c r="E133" s="20">
        <f>SUM(E134:E142)</f>
        <v>1.0556999999999999</v>
      </c>
      <c r="F133" s="20">
        <f t="shared" ref="F133:G133" si="21">SUM(F134:F142)</f>
        <v>1090.5</v>
      </c>
      <c r="G133" s="51">
        <f t="shared" si="21"/>
        <v>18151.57</v>
      </c>
      <c r="H133" s="34"/>
      <c r="I133" s="35"/>
    </row>
    <row r="134" spans="1:9" ht="46.8">
      <c r="A134" s="19"/>
      <c r="B134" s="48" t="s">
        <v>302</v>
      </c>
      <c r="C134" s="19">
        <v>2022</v>
      </c>
      <c r="D134" s="46">
        <v>0.4</v>
      </c>
      <c r="E134" s="45">
        <v>9.0999999999999998E-2</v>
      </c>
      <c r="F134" s="69">
        <v>100</v>
      </c>
      <c r="G134" s="52">
        <v>1517.9</v>
      </c>
      <c r="H134" s="38" t="s">
        <v>314</v>
      </c>
      <c r="I134" s="36" t="s">
        <v>236</v>
      </c>
    </row>
    <row r="135" spans="1:9" ht="46.8">
      <c r="A135" s="19"/>
      <c r="B135" s="48" t="s">
        <v>303</v>
      </c>
      <c r="C135" s="19">
        <v>2022</v>
      </c>
      <c r="D135" s="46">
        <v>0.4</v>
      </c>
      <c r="E135" s="45">
        <v>0.19650000000000001</v>
      </c>
      <c r="F135" s="69">
        <v>130</v>
      </c>
      <c r="G135" s="52">
        <v>4250.2</v>
      </c>
      <c r="H135" s="38" t="s">
        <v>184</v>
      </c>
      <c r="I135" s="36" t="s">
        <v>236</v>
      </c>
    </row>
    <row r="136" spans="1:9" ht="62.4">
      <c r="A136" s="19"/>
      <c r="B136" s="48" t="s">
        <v>315</v>
      </c>
      <c r="C136" s="19">
        <v>2022</v>
      </c>
      <c r="D136" s="46">
        <v>0.4</v>
      </c>
      <c r="E136" s="45">
        <v>0.22339999999999999</v>
      </c>
      <c r="F136" s="69">
        <v>100</v>
      </c>
      <c r="G136" s="52">
        <v>3660.4</v>
      </c>
      <c r="H136" s="38" t="s">
        <v>338</v>
      </c>
      <c r="I136" s="36" t="s">
        <v>288</v>
      </c>
    </row>
    <row r="137" spans="1:9" ht="62.4">
      <c r="A137" s="19"/>
      <c r="B137" s="48" t="s">
        <v>319</v>
      </c>
      <c r="C137" s="19">
        <v>2022</v>
      </c>
      <c r="D137" s="46">
        <v>0.4</v>
      </c>
      <c r="E137" s="45">
        <v>4.58E-2</v>
      </c>
      <c r="F137" s="69">
        <v>100</v>
      </c>
      <c r="G137" s="52">
        <v>834.38</v>
      </c>
      <c r="H137" s="38" t="s">
        <v>340</v>
      </c>
      <c r="I137" s="36" t="s">
        <v>320</v>
      </c>
    </row>
    <row r="138" spans="1:9" ht="46.8">
      <c r="A138" s="19"/>
      <c r="B138" s="48" t="s">
        <v>324</v>
      </c>
      <c r="C138" s="19">
        <v>2022</v>
      </c>
      <c r="D138" s="46">
        <v>0.4</v>
      </c>
      <c r="E138" s="45">
        <v>0.21809999999999999</v>
      </c>
      <c r="F138" s="69">
        <v>100</v>
      </c>
      <c r="G138" s="52">
        <v>3614</v>
      </c>
      <c r="H138" s="38" t="s">
        <v>314</v>
      </c>
      <c r="I138" s="36" t="s">
        <v>325</v>
      </c>
    </row>
    <row r="139" spans="1:9" ht="78">
      <c r="A139" s="19"/>
      <c r="B139" s="48" t="s">
        <v>326</v>
      </c>
      <c r="C139" s="19">
        <v>2022</v>
      </c>
      <c r="D139" s="46">
        <v>0.4</v>
      </c>
      <c r="E139" s="45">
        <v>3.8899999999999997E-2</v>
      </c>
      <c r="F139" s="69">
        <v>125</v>
      </c>
      <c r="G139" s="52">
        <v>736.23</v>
      </c>
      <c r="H139" s="38" t="s">
        <v>327</v>
      </c>
      <c r="I139" s="36" t="s">
        <v>328</v>
      </c>
    </row>
    <row r="140" spans="1:9" ht="62.4">
      <c r="A140" s="19"/>
      <c r="B140" s="48" t="s">
        <v>330</v>
      </c>
      <c r="C140" s="19">
        <v>2022</v>
      </c>
      <c r="D140" s="46">
        <v>0.4</v>
      </c>
      <c r="E140" s="45">
        <v>3.9E-2</v>
      </c>
      <c r="F140" s="69">
        <v>149</v>
      </c>
      <c r="G140" s="52">
        <v>602.76</v>
      </c>
      <c r="H140" s="38" t="s">
        <v>131</v>
      </c>
      <c r="I140" s="36" t="s">
        <v>238</v>
      </c>
    </row>
    <row r="141" spans="1:9" ht="62.4">
      <c r="A141" s="19"/>
      <c r="B141" s="48" t="s">
        <v>331</v>
      </c>
      <c r="C141" s="19">
        <v>2022</v>
      </c>
      <c r="D141" s="46">
        <v>0.4</v>
      </c>
      <c r="E141" s="45">
        <v>0.122</v>
      </c>
      <c r="F141" s="69">
        <v>149</v>
      </c>
      <c r="G141" s="52">
        <v>1823</v>
      </c>
      <c r="H141" s="38" t="s">
        <v>314</v>
      </c>
      <c r="I141" s="36" t="s">
        <v>238</v>
      </c>
    </row>
    <row r="142" spans="1:9" ht="46.8">
      <c r="A142" s="19"/>
      <c r="B142" s="48" t="s">
        <v>308</v>
      </c>
      <c r="C142" s="19">
        <v>2022</v>
      </c>
      <c r="D142" s="46">
        <v>0.4</v>
      </c>
      <c r="E142" s="45">
        <v>8.1000000000000003E-2</v>
      </c>
      <c r="F142" s="69">
        <v>137.5</v>
      </c>
      <c r="G142" s="52">
        <v>1112.7</v>
      </c>
      <c r="H142" s="38" t="s">
        <v>340</v>
      </c>
      <c r="I142" s="36" t="s">
        <v>309</v>
      </c>
    </row>
    <row r="143" spans="1:9">
      <c r="A143" s="19" t="s">
        <v>345</v>
      </c>
      <c r="B143" s="24" t="s">
        <v>346</v>
      </c>
      <c r="C143" s="19"/>
      <c r="D143" s="46"/>
      <c r="E143" s="20">
        <f>SUM(E144:E151)</f>
        <v>0.30600000000000005</v>
      </c>
      <c r="F143" s="20">
        <f t="shared" ref="F143:G143" si="22">SUM(F144:F151)</f>
        <v>2728.6</v>
      </c>
      <c r="G143" s="51">
        <f t="shared" si="22"/>
        <v>943.40168000000006</v>
      </c>
      <c r="H143" s="34"/>
      <c r="I143" s="35"/>
    </row>
    <row r="144" spans="1:9" ht="46.8">
      <c r="A144" s="19"/>
      <c r="B144" s="48" t="s">
        <v>347</v>
      </c>
      <c r="C144" s="19">
        <v>2022</v>
      </c>
      <c r="D144" s="46">
        <v>10</v>
      </c>
      <c r="E144" s="45">
        <v>2.4500000000000001E-2</v>
      </c>
      <c r="F144" s="38">
        <v>298.3</v>
      </c>
      <c r="G144" s="52">
        <f>236.72317-G153</f>
        <v>130.72317000000001</v>
      </c>
      <c r="H144" s="38" t="s">
        <v>348</v>
      </c>
      <c r="I144" s="36" t="s">
        <v>217</v>
      </c>
    </row>
    <row r="145" spans="1:9" ht="46.8">
      <c r="A145" s="19"/>
      <c r="B145" s="48" t="s">
        <v>349</v>
      </c>
      <c r="C145" s="19">
        <v>2022</v>
      </c>
      <c r="D145" s="46">
        <v>10</v>
      </c>
      <c r="E145" s="45">
        <v>1.8499999999999999E-2</v>
      </c>
      <c r="F145" s="38">
        <v>298.3</v>
      </c>
      <c r="G145" s="52">
        <f>183.32919-G154</f>
        <v>77.329190000000011</v>
      </c>
      <c r="H145" s="38" t="s">
        <v>348</v>
      </c>
      <c r="I145" s="36" t="s">
        <v>217</v>
      </c>
    </row>
    <row r="146" spans="1:9" ht="46.8">
      <c r="A146" s="19"/>
      <c r="B146" s="48" t="s">
        <v>350</v>
      </c>
      <c r="C146" s="19">
        <v>2022</v>
      </c>
      <c r="D146" s="46">
        <v>6</v>
      </c>
      <c r="E146" s="45">
        <v>9.8000000000000004E-2</v>
      </c>
      <c r="F146" s="38">
        <v>500</v>
      </c>
      <c r="G146" s="52">
        <v>230.62</v>
      </c>
      <c r="H146" s="38" t="s">
        <v>185</v>
      </c>
      <c r="I146" s="36" t="s">
        <v>351</v>
      </c>
    </row>
    <row r="147" spans="1:9" ht="46.8">
      <c r="A147" s="19"/>
      <c r="B147" s="48" t="s">
        <v>352</v>
      </c>
      <c r="C147" s="19">
        <v>2022</v>
      </c>
      <c r="D147" s="46">
        <v>6</v>
      </c>
      <c r="E147" s="45">
        <v>0.10199999999999999</v>
      </c>
      <c r="F147" s="38">
        <v>500</v>
      </c>
      <c r="G147" s="52">
        <v>275.22000000000003</v>
      </c>
      <c r="H147" s="38" t="s">
        <v>353</v>
      </c>
      <c r="I147" s="36" t="s">
        <v>351</v>
      </c>
    </row>
    <row r="148" spans="1:9" ht="31.2">
      <c r="A148" s="19"/>
      <c r="B148" s="48" t="s">
        <v>354</v>
      </c>
      <c r="C148" s="19">
        <v>2022</v>
      </c>
      <c r="D148" s="46">
        <v>6</v>
      </c>
      <c r="E148" s="45">
        <v>2.1999999999999999E-2</v>
      </c>
      <c r="F148" s="38">
        <v>551</v>
      </c>
      <c r="G148" s="52">
        <f>446.13833-G158-G161</f>
        <v>51.138329999999996</v>
      </c>
      <c r="H148" s="38" t="s">
        <v>355</v>
      </c>
      <c r="I148" s="36" t="s">
        <v>356</v>
      </c>
    </row>
    <row r="149" spans="1:9" ht="46.8">
      <c r="A149" s="19"/>
      <c r="B149" s="48" t="s">
        <v>357</v>
      </c>
      <c r="C149" s="19">
        <v>2022</v>
      </c>
      <c r="D149" s="46">
        <v>6</v>
      </c>
      <c r="E149" s="45">
        <v>1.0500000000000001E-2</v>
      </c>
      <c r="F149" s="38">
        <v>15</v>
      </c>
      <c r="G149" s="52">
        <v>70.44</v>
      </c>
      <c r="H149" s="38" t="s">
        <v>348</v>
      </c>
      <c r="I149" s="36" t="s">
        <v>227</v>
      </c>
    </row>
    <row r="150" spans="1:9" ht="46.8">
      <c r="A150" s="19"/>
      <c r="B150" s="48" t="s">
        <v>358</v>
      </c>
      <c r="C150" s="19">
        <v>2022</v>
      </c>
      <c r="D150" s="46">
        <v>6</v>
      </c>
      <c r="E150" s="45">
        <v>1.2500000000000001E-2</v>
      </c>
      <c r="F150" s="38">
        <v>15</v>
      </c>
      <c r="G150" s="52">
        <f>314.74099-G162</f>
        <v>56.790990000000022</v>
      </c>
      <c r="H150" s="38" t="s">
        <v>348</v>
      </c>
      <c r="I150" s="36" t="s">
        <v>227</v>
      </c>
    </row>
    <row r="151" spans="1:9" ht="31.2">
      <c r="A151" s="19"/>
      <c r="B151" s="48" t="s">
        <v>359</v>
      </c>
      <c r="C151" s="19">
        <v>2022</v>
      </c>
      <c r="D151" s="46">
        <v>6</v>
      </c>
      <c r="E151" s="45">
        <v>1.7999999999999999E-2</v>
      </c>
      <c r="F151" s="38">
        <v>551</v>
      </c>
      <c r="G151" s="52">
        <v>51.14</v>
      </c>
      <c r="H151" s="38" t="s">
        <v>360</v>
      </c>
      <c r="I151" s="36" t="s">
        <v>356</v>
      </c>
    </row>
    <row r="152" spans="1:9">
      <c r="A152" s="19" t="s">
        <v>361</v>
      </c>
      <c r="B152" s="24" t="s">
        <v>362</v>
      </c>
      <c r="C152" s="19"/>
      <c r="D152" s="46"/>
      <c r="E152" s="20">
        <f>SUM(E153:E158)</f>
        <v>7.8000000000000014E-2</v>
      </c>
      <c r="F152" s="20">
        <f t="shared" ref="F152:G152" si="23">SUM(F153:F158)</f>
        <v>2698.6</v>
      </c>
      <c r="G152" s="51">
        <f t="shared" si="23"/>
        <v>341.04</v>
      </c>
      <c r="H152" s="71"/>
      <c r="I152" s="36"/>
    </row>
    <row r="153" spans="1:9" ht="46.8">
      <c r="A153" s="19"/>
      <c r="B153" s="48" t="s">
        <v>347</v>
      </c>
      <c r="C153" s="19">
        <v>2022</v>
      </c>
      <c r="D153" s="46">
        <v>10</v>
      </c>
      <c r="E153" s="45">
        <v>0.02</v>
      </c>
      <c r="F153" s="38">
        <v>298.3</v>
      </c>
      <c r="G153" s="52">
        <v>106</v>
      </c>
      <c r="H153" s="38" t="s">
        <v>348</v>
      </c>
      <c r="I153" s="36" t="s">
        <v>217</v>
      </c>
    </row>
    <row r="154" spans="1:9" ht="46.8">
      <c r="A154" s="19"/>
      <c r="B154" s="48" t="s">
        <v>349</v>
      </c>
      <c r="C154" s="19">
        <v>2022</v>
      </c>
      <c r="D154" s="46">
        <v>10</v>
      </c>
      <c r="E154" s="45">
        <v>0.02</v>
      </c>
      <c r="F154" s="38">
        <v>298.3</v>
      </c>
      <c r="G154" s="52">
        <v>106</v>
      </c>
      <c r="H154" s="38" t="s">
        <v>348</v>
      </c>
      <c r="I154" s="36" t="s">
        <v>217</v>
      </c>
    </row>
    <row r="155" spans="1:9" ht="46.8">
      <c r="A155" s="19"/>
      <c r="B155" s="48" t="s">
        <v>350</v>
      </c>
      <c r="C155" s="19">
        <v>2022</v>
      </c>
      <c r="D155" s="46">
        <v>6</v>
      </c>
      <c r="E155" s="45">
        <v>1.0999999999999999E-2</v>
      </c>
      <c r="F155" s="38">
        <v>500</v>
      </c>
      <c r="G155" s="52">
        <v>37.520000000000003</v>
      </c>
      <c r="H155" s="38" t="s">
        <v>185</v>
      </c>
      <c r="I155" s="36" t="s">
        <v>351</v>
      </c>
    </row>
    <row r="156" spans="1:9" ht="46.8">
      <c r="A156" s="19"/>
      <c r="B156" s="48" t="s">
        <v>352</v>
      </c>
      <c r="C156" s="19">
        <v>2022</v>
      </c>
      <c r="D156" s="46">
        <v>6</v>
      </c>
      <c r="E156" s="45">
        <v>1.0999999999999999E-2</v>
      </c>
      <c r="F156" s="38">
        <v>500</v>
      </c>
      <c r="G156" s="52">
        <v>37.520000000000003</v>
      </c>
      <c r="H156" s="38" t="s">
        <v>348</v>
      </c>
      <c r="I156" s="36" t="s">
        <v>351</v>
      </c>
    </row>
    <row r="157" spans="1:9" ht="36" customHeight="1">
      <c r="A157" s="19"/>
      <c r="B157" s="48" t="s">
        <v>359</v>
      </c>
      <c r="C157" s="19">
        <v>2022</v>
      </c>
      <c r="D157" s="46">
        <v>6</v>
      </c>
      <c r="E157" s="45">
        <v>8.0000000000000002E-3</v>
      </c>
      <c r="F157" s="38">
        <v>551</v>
      </c>
      <c r="G157" s="52">
        <v>27</v>
      </c>
      <c r="H157" s="38" t="s">
        <v>355</v>
      </c>
      <c r="I157" s="36" t="s">
        <v>356</v>
      </c>
    </row>
    <row r="158" spans="1:9" ht="36" customHeight="1">
      <c r="A158" s="19"/>
      <c r="B158" s="48" t="s">
        <v>354</v>
      </c>
      <c r="C158" s="19">
        <v>2022</v>
      </c>
      <c r="D158" s="46">
        <v>6</v>
      </c>
      <c r="E158" s="45">
        <v>8.0000000000000002E-3</v>
      </c>
      <c r="F158" s="38">
        <v>551</v>
      </c>
      <c r="G158" s="52">
        <v>27</v>
      </c>
      <c r="H158" s="38" t="s">
        <v>355</v>
      </c>
      <c r="I158" s="36" t="s">
        <v>356</v>
      </c>
    </row>
    <row r="159" spans="1:9" ht="20.399999999999999" customHeight="1">
      <c r="A159" s="19" t="s">
        <v>363</v>
      </c>
      <c r="B159" s="24" t="s">
        <v>364</v>
      </c>
      <c r="C159" s="19"/>
      <c r="D159" s="46"/>
      <c r="E159" s="20">
        <f>SUM(E160:E162)</f>
        <v>7.5999999999999998E-2</v>
      </c>
      <c r="F159" s="20">
        <f t="shared" ref="F159:G159" si="24">SUM(F160:F162)</f>
        <v>1117</v>
      </c>
      <c r="G159" s="51">
        <f t="shared" si="24"/>
        <v>993.95</v>
      </c>
      <c r="H159" s="71"/>
      <c r="I159" s="36"/>
    </row>
    <row r="160" spans="1:9" ht="36" customHeight="1">
      <c r="A160" s="19"/>
      <c r="B160" s="48" t="s">
        <v>359</v>
      </c>
      <c r="C160" s="19">
        <v>2022</v>
      </c>
      <c r="D160" s="46">
        <v>6</v>
      </c>
      <c r="E160" s="45">
        <v>2.9000000000000001E-2</v>
      </c>
      <c r="F160" s="38">
        <v>551</v>
      </c>
      <c r="G160" s="52">
        <v>368</v>
      </c>
      <c r="H160" s="38" t="s">
        <v>355</v>
      </c>
      <c r="I160" s="36" t="s">
        <v>356</v>
      </c>
    </row>
    <row r="161" spans="1:10" ht="36" customHeight="1">
      <c r="A161" s="19"/>
      <c r="B161" s="48" t="s">
        <v>354</v>
      </c>
      <c r="C161" s="19">
        <v>2022</v>
      </c>
      <c r="D161" s="46">
        <v>6</v>
      </c>
      <c r="E161" s="45">
        <v>2.9000000000000001E-2</v>
      </c>
      <c r="F161" s="38">
        <v>551</v>
      </c>
      <c r="G161" s="52">
        <v>368</v>
      </c>
      <c r="H161" s="38" t="s">
        <v>360</v>
      </c>
      <c r="I161" s="36" t="s">
        <v>356</v>
      </c>
    </row>
    <row r="162" spans="1:10" ht="49.2" customHeight="1">
      <c r="A162" s="19"/>
      <c r="B162" s="48" t="s">
        <v>357</v>
      </c>
      <c r="C162" s="19">
        <v>2022</v>
      </c>
      <c r="D162" s="46">
        <v>6</v>
      </c>
      <c r="E162" s="45">
        <v>1.7999999999999999E-2</v>
      </c>
      <c r="F162" s="38">
        <v>15</v>
      </c>
      <c r="G162" s="52">
        <v>257.95</v>
      </c>
      <c r="H162" s="38" t="s">
        <v>348</v>
      </c>
      <c r="I162" s="36" t="s">
        <v>227</v>
      </c>
    </row>
    <row r="163" spans="1:10" ht="21.6" customHeight="1">
      <c r="A163" s="19" t="s">
        <v>365</v>
      </c>
      <c r="B163" s="24" t="s">
        <v>366</v>
      </c>
      <c r="C163" s="19"/>
      <c r="D163" s="46"/>
      <c r="E163" s="20">
        <f>E164</f>
        <v>1.7999999999999999E-2</v>
      </c>
      <c r="F163" s="20">
        <f t="shared" ref="F163:G163" si="25">F164</f>
        <v>15</v>
      </c>
      <c r="G163" s="51">
        <f t="shared" si="25"/>
        <v>542.61</v>
      </c>
      <c r="H163" s="71"/>
      <c r="I163" s="36"/>
    </row>
    <row r="164" spans="1:10" ht="50.4" customHeight="1">
      <c r="A164" s="19"/>
      <c r="B164" s="48" t="s">
        <v>358</v>
      </c>
      <c r="C164" s="19">
        <v>2022</v>
      </c>
      <c r="D164" s="46">
        <v>6</v>
      </c>
      <c r="E164" s="45">
        <v>1.7999999999999999E-2</v>
      </c>
      <c r="F164" s="38">
        <v>15</v>
      </c>
      <c r="G164" s="52">
        <v>542.61</v>
      </c>
      <c r="H164" s="38" t="s">
        <v>185</v>
      </c>
      <c r="I164" s="36" t="s">
        <v>227</v>
      </c>
    </row>
    <row r="165" spans="1:10">
      <c r="A165" s="19" t="s">
        <v>367</v>
      </c>
      <c r="B165" s="24" t="s">
        <v>368</v>
      </c>
      <c r="C165" s="19"/>
      <c r="D165" s="46"/>
      <c r="E165" s="20">
        <f>E166</f>
        <v>0.32300000000000001</v>
      </c>
      <c r="F165" s="20">
        <f t="shared" ref="F165:G165" si="26">F166</f>
        <v>80</v>
      </c>
      <c r="G165" s="51">
        <f t="shared" si="26"/>
        <v>1199.8506299999999</v>
      </c>
      <c r="H165" s="34"/>
      <c r="I165" s="35"/>
    </row>
    <row r="166" spans="1:10" ht="46.8">
      <c r="A166" s="19"/>
      <c r="B166" s="48" t="s">
        <v>369</v>
      </c>
      <c r="C166" s="19">
        <v>2022</v>
      </c>
      <c r="D166" s="46">
        <v>0.4</v>
      </c>
      <c r="E166" s="45">
        <v>0.32300000000000001</v>
      </c>
      <c r="F166" s="69">
        <v>80</v>
      </c>
      <c r="G166" s="52">
        <v>1199.8506299999999</v>
      </c>
      <c r="H166" s="38" t="s">
        <v>370</v>
      </c>
      <c r="I166" s="36" t="s">
        <v>323</v>
      </c>
    </row>
    <row r="167" spans="1:10">
      <c r="A167" s="19" t="s">
        <v>371</v>
      </c>
      <c r="B167" s="24" t="s">
        <v>372</v>
      </c>
      <c r="C167" s="19"/>
      <c r="D167" s="46"/>
      <c r="E167" s="20">
        <f>E168</f>
        <v>3.5999999999999997E-2</v>
      </c>
      <c r="F167" s="20">
        <f t="shared" ref="F167:G167" si="27">F168</f>
        <v>80</v>
      </c>
      <c r="G167" s="51">
        <f t="shared" si="27"/>
        <v>74</v>
      </c>
      <c r="H167" s="34"/>
      <c r="I167" s="35"/>
    </row>
    <row r="168" spans="1:10" ht="46.8">
      <c r="A168" s="19"/>
      <c r="B168" s="48" t="s">
        <v>369</v>
      </c>
      <c r="C168" s="19">
        <v>2022</v>
      </c>
      <c r="D168" s="46">
        <v>0.4</v>
      </c>
      <c r="E168" s="45">
        <v>3.5999999999999997E-2</v>
      </c>
      <c r="F168" s="69">
        <v>80</v>
      </c>
      <c r="G168" s="52">
        <v>74</v>
      </c>
      <c r="H168" s="38" t="s">
        <v>370</v>
      </c>
      <c r="I168" s="36" t="s">
        <v>323</v>
      </c>
    </row>
    <row r="169" spans="1:10">
      <c r="A169" s="19" t="s">
        <v>373</v>
      </c>
      <c r="B169" s="24" t="s">
        <v>374</v>
      </c>
      <c r="C169" s="19"/>
      <c r="D169" s="46"/>
      <c r="E169" s="20">
        <f>E170</f>
        <v>0.39600000000000002</v>
      </c>
      <c r="F169" s="20">
        <f t="shared" ref="F169:G169" si="28">F170</f>
        <v>80</v>
      </c>
      <c r="G169" s="51">
        <f t="shared" si="28"/>
        <v>4270</v>
      </c>
      <c r="H169" s="34"/>
      <c r="I169" s="35"/>
    </row>
    <row r="170" spans="1:10" ht="46.8">
      <c r="A170" s="19"/>
      <c r="B170" s="48" t="s">
        <v>369</v>
      </c>
      <c r="C170" s="19">
        <v>2022</v>
      </c>
      <c r="D170" s="46">
        <v>0.4</v>
      </c>
      <c r="E170" s="45">
        <v>0.39600000000000002</v>
      </c>
      <c r="F170" s="69">
        <v>80</v>
      </c>
      <c r="G170" s="52">
        <v>4270</v>
      </c>
      <c r="H170" s="38" t="s">
        <v>370</v>
      </c>
      <c r="I170" s="36" t="s">
        <v>323</v>
      </c>
    </row>
    <row r="171" spans="1:10">
      <c r="A171" s="19" t="s">
        <v>375</v>
      </c>
      <c r="B171" s="24" t="s">
        <v>376</v>
      </c>
      <c r="C171" s="19"/>
      <c r="D171" s="46"/>
      <c r="E171" s="20">
        <f>E172</f>
        <v>0.45500000000000002</v>
      </c>
      <c r="F171" s="20">
        <f t="shared" ref="F171:G171" si="29">F172</f>
        <v>2450</v>
      </c>
      <c r="G171" s="51">
        <f t="shared" si="29"/>
        <v>1834.8300000000017</v>
      </c>
      <c r="H171" s="34"/>
      <c r="I171" s="35"/>
    </row>
    <row r="172" spans="1:10" ht="62.4">
      <c r="A172" s="19"/>
      <c r="B172" s="48" t="s">
        <v>377</v>
      </c>
      <c r="C172" s="19">
        <v>2022</v>
      </c>
      <c r="D172" s="46">
        <v>6</v>
      </c>
      <c r="E172" s="45">
        <v>0.45500000000000002</v>
      </c>
      <c r="F172" s="68">
        <v>2450</v>
      </c>
      <c r="G172" s="52">
        <v>1834.8300000000017</v>
      </c>
      <c r="H172" s="38" t="s">
        <v>378</v>
      </c>
      <c r="I172" s="50" t="s">
        <v>246</v>
      </c>
      <c r="J172" s="55"/>
    </row>
    <row r="173" spans="1:10">
      <c r="A173" s="19" t="s">
        <v>379</v>
      </c>
      <c r="B173" s="24" t="s">
        <v>380</v>
      </c>
      <c r="C173" s="19"/>
      <c r="D173" s="46"/>
      <c r="E173" s="20">
        <f>E174</f>
        <v>0.42699999999999999</v>
      </c>
      <c r="F173" s="20">
        <f t="shared" ref="F173:G173" si="30">F174</f>
        <v>2450</v>
      </c>
      <c r="G173" s="51">
        <f t="shared" si="30"/>
        <v>1043</v>
      </c>
      <c r="H173" s="34"/>
      <c r="I173" s="35"/>
    </row>
    <row r="174" spans="1:10" ht="62.4">
      <c r="A174" s="19"/>
      <c r="B174" s="48" t="s">
        <v>377</v>
      </c>
      <c r="C174" s="19">
        <v>2022</v>
      </c>
      <c r="D174" s="46">
        <v>6</v>
      </c>
      <c r="E174" s="45">
        <v>0.42699999999999999</v>
      </c>
      <c r="F174" s="68">
        <v>2450</v>
      </c>
      <c r="G174" s="52">
        <v>1043</v>
      </c>
      <c r="H174" s="38" t="s">
        <v>378</v>
      </c>
      <c r="I174" s="50" t="s">
        <v>246</v>
      </c>
    </row>
    <row r="175" spans="1:10">
      <c r="A175" s="19" t="s">
        <v>381</v>
      </c>
      <c r="B175" s="24" t="s">
        <v>382</v>
      </c>
      <c r="C175" s="19"/>
      <c r="D175" s="46"/>
      <c r="E175" s="20">
        <f>E176</f>
        <v>0.78400000000000003</v>
      </c>
      <c r="F175" s="20">
        <f t="shared" ref="F175:G175" si="31">F176</f>
        <v>2450</v>
      </c>
      <c r="G175" s="51">
        <f t="shared" si="31"/>
        <v>15467</v>
      </c>
      <c r="H175" s="34"/>
      <c r="I175" s="35"/>
    </row>
    <row r="176" spans="1:10" ht="62.4">
      <c r="A176" s="19"/>
      <c r="B176" s="48" t="s">
        <v>377</v>
      </c>
      <c r="C176" s="19">
        <v>2022</v>
      </c>
      <c r="D176" s="46">
        <v>6</v>
      </c>
      <c r="E176" s="45">
        <v>0.78400000000000003</v>
      </c>
      <c r="F176" s="68">
        <v>2450</v>
      </c>
      <c r="G176" s="52">
        <f>15467</f>
        <v>15467</v>
      </c>
      <c r="H176" s="38" t="s">
        <v>378</v>
      </c>
      <c r="I176" s="50" t="s">
        <v>246</v>
      </c>
    </row>
    <row r="177" spans="1:9">
      <c r="A177" s="19">
        <v>3</v>
      </c>
      <c r="B177" s="24" t="s">
        <v>69</v>
      </c>
      <c r="C177" s="19" t="s">
        <v>34</v>
      </c>
      <c r="D177" s="46" t="s">
        <v>34</v>
      </c>
      <c r="E177" s="20">
        <v>0</v>
      </c>
      <c r="F177" s="25">
        <v>0</v>
      </c>
      <c r="G177" s="51">
        <v>0</v>
      </c>
      <c r="H177" s="19" t="s">
        <v>34</v>
      </c>
      <c r="I177" s="31" t="s">
        <v>34</v>
      </c>
    </row>
    <row r="178" spans="1:9" ht="156">
      <c r="A178" s="46" t="s">
        <v>70</v>
      </c>
      <c r="B178" s="48" t="s">
        <v>153</v>
      </c>
      <c r="C178" s="46" t="s">
        <v>34</v>
      </c>
      <c r="D178" s="46" t="s">
        <v>34</v>
      </c>
      <c r="E178" s="45" t="s">
        <v>34</v>
      </c>
      <c r="F178" s="47" t="s">
        <v>34</v>
      </c>
      <c r="G178" s="27" t="s">
        <v>34</v>
      </c>
      <c r="H178" s="46" t="s">
        <v>34</v>
      </c>
      <c r="I178" s="50" t="s">
        <v>34</v>
      </c>
    </row>
    <row r="179" spans="1:9" ht="78">
      <c r="A179" s="46" t="s">
        <v>71</v>
      </c>
      <c r="B179" s="48" t="s">
        <v>154</v>
      </c>
      <c r="C179" s="46"/>
      <c r="D179" s="46"/>
      <c r="E179" s="45"/>
      <c r="F179" s="47"/>
      <c r="G179" s="27"/>
      <c r="H179" s="32"/>
      <c r="I179" s="33"/>
    </row>
    <row r="180" spans="1:9" ht="78">
      <c r="A180" s="46" t="s">
        <v>155</v>
      </c>
      <c r="B180" s="48" t="s">
        <v>156</v>
      </c>
      <c r="C180" s="46"/>
      <c r="D180" s="46"/>
      <c r="E180" s="45"/>
      <c r="F180" s="47"/>
      <c r="G180" s="27"/>
      <c r="H180" s="32"/>
      <c r="I180" s="33"/>
    </row>
    <row r="181" spans="1:9">
      <c r="A181" s="46" t="s">
        <v>72</v>
      </c>
      <c r="B181" s="48" t="s">
        <v>73</v>
      </c>
      <c r="C181" s="46"/>
      <c r="D181" s="46"/>
      <c r="E181" s="45"/>
      <c r="F181" s="47"/>
      <c r="G181" s="27"/>
      <c r="H181" s="32"/>
      <c r="I181" s="33"/>
    </row>
    <row r="182" spans="1:9" ht="31.2">
      <c r="A182" s="19">
        <v>4</v>
      </c>
      <c r="B182" s="24" t="s">
        <v>191</v>
      </c>
      <c r="C182" s="19" t="s">
        <v>34</v>
      </c>
      <c r="D182" s="46" t="s">
        <v>34</v>
      </c>
      <c r="E182" s="20">
        <f>E187+E189+E191+E193</f>
        <v>4</v>
      </c>
      <c r="F182" s="20">
        <f t="shared" ref="F182:G182" si="32">F187+F189+F191+F193</f>
        <v>913.3</v>
      </c>
      <c r="G182" s="51">
        <f t="shared" si="32"/>
        <v>15624.400590000001</v>
      </c>
      <c r="H182" s="19" t="s">
        <v>34</v>
      </c>
      <c r="I182" s="31" t="s">
        <v>34</v>
      </c>
    </row>
    <row r="183" spans="1:9" ht="78">
      <c r="A183" s="46" t="s">
        <v>74</v>
      </c>
      <c r="B183" s="48" t="s">
        <v>157</v>
      </c>
      <c r="C183" s="46" t="s">
        <v>34</v>
      </c>
      <c r="D183" s="46" t="s">
        <v>34</v>
      </c>
      <c r="E183" s="45" t="s">
        <v>34</v>
      </c>
      <c r="F183" s="47" t="s">
        <v>34</v>
      </c>
      <c r="G183" s="27" t="s">
        <v>34</v>
      </c>
      <c r="H183" s="46" t="s">
        <v>34</v>
      </c>
      <c r="I183" s="50" t="s">
        <v>34</v>
      </c>
    </row>
    <row r="184" spans="1:9" ht="31.2">
      <c r="A184" s="46" t="s">
        <v>75</v>
      </c>
      <c r="B184" s="48" t="s">
        <v>76</v>
      </c>
      <c r="C184" s="46" t="s">
        <v>34</v>
      </c>
      <c r="D184" s="46" t="s">
        <v>34</v>
      </c>
      <c r="E184" s="45" t="s">
        <v>34</v>
      </c>
      <c r="F184" s="47" t="s">
        <v>34</v>
      </c>
      <c r="G184" s="27" t="s">
        <v>34</v>
      </c>
      <c r="H184" s="46" t="s">
        <v>34</v>
      </c>
      <c r="I184" s="50" t="s">
        <v>34</v>
      </c>
    </row>
    <row r="185" spans="1:9" ht="171.6">
      <c r="A185" s="46" t="s">
        <v>77</v>
      </c>
      <c r="B185" s="48" t="s">
        <v>192</v>
      </c>
      <c r="C185" s="46"/>
      <c r="D185" s="46"/>
      <c r="E185" s="45"/>
      <c r="F185" s="47"/>
      <c r="G185" s="27"/>
      <c r="H185" s="32"/>
      <c r="I185" s="33"/>
    </row>
    <row r="186" spans="1:9" ht="46.8">
      <c r="A186" s="46" t="s">
        <v>158</v>
      </c>
      <c r="B186" s="39" t="s">
        <v>193</v>
      </c>
      <c r="C186" s="46"/>
      <c r="D186" s="46"/>
      <c r="E186" s="45"/>
      <c r="F186" s="47"/>
      <c r="G186" s="27"/>
      <c r="H186" s="32"/>
      <c r="I186" s="33"/>
    </row>
    <row r="187" spans="1:9">
      <c r="A187" s="19" t="s">
        <v>161</v>
      </c>
      <c r="B187" s="24" t="s">
        <v>383</v>
      </c>
      <c r="C187" s="19"/>
      <c r="D187" s="46"/>
      <c r="E187" s="25">
        <f>E188</f>
        <v>1</v>
      </c>
      <c r="F187" s="25">
        <f t="shared" ref="F187:G187" si="33">F188</f>
        <v>15</v>
      </c>
      <c r="G187" s="51">
        <f t="shared" si="33"/>
        <v>994.80178000000001</v>
      </c>
      <c r="H187" s="34"/>
      <c r="I187" s="35"/>
    </row>
    <row r="188" spans="1:9" ht="51" customHeight="1">
      <c r="A188" s="19"/>
      <c r="B188" s="72" t="s">
        <v>384</v>
      </c>
      <c r="C188" s="19">
        <v>2022</v>
      </c>
      <c r="D188" s="46"/>
      <c r="E188" s="63">
        <v>1</v>
      </c>
      <c r="F188" s="38">
        <v>15</v>
      </c>
      <c r="G188" s="52">
        <f>834074.78/1000+160.727</f>
        <v>994.80178000000001</v>
      </c>
      <c r="H188" s="38" t="s">
        <v>385</v>
      </c>
      <c r="I188" s="54" t="s">
        <v>227</v>
      </c>
    </row>
    <row r="189" spans="1:9">
      <c r="A189" s="19" t="s">
        <v>194</v>
      </c>
      <c r="B189" s="24" t="s">
        <v>195</v>
      </c>
      <c r="C189" s="19"/>
      <c r="D189" s="46"/>
      <c r="E189" s="25">
        <f>E190</f>
        <v>1</v>
      </c>
      <c r="F189" s="25">
        <f t="shared" ref="F189:G189" si="34">F190</f>
        <v>100</v>
      </c>
      <c r="G189" s="51">
        <f t="shared" si="34"/>
        <v>987.12634000000003</v>
      </c>
      <c r="H189" s="34"/>
      <c r="I189" s="35"/>
    </row>
    <row r="190" spans="1:9" ht="50.25" customHeight="1">
      <c r="A190" s="19"/>
      <c r="B190" s="72" t="s">
        <v>386</v>
      </c>
      <c r="C190" s="19">
        <v>2022</v>
      </c>
      <c r="D190" s="46"/>
      <c r="E190" s="64">
        <v>1</v>
      </c>
      <c r="F190" s="38">
        <v>100</v>
      </c>
      <c r="G190" s="73">
        <f>706344.34/1000+280.782</f>
        <v>987.12634000000003</v>
      </c>
      <c r="H190" s="38" t="s">
        <v>387</v>
      </c>
      <c r="I190" s="46" t="s">
        <v>268</v>
      </c>
    </row>
    <row r="191" spans="1:9">
      <c r="A191" s="19" t="s">
        <v>196</v>
      </c>
      <c r="B191" s="24" t="s">
        <v>197</v>
      </c>
      <c r="C191" s="19"/>
      <c r="D191" s="46"/>
      <c r="E191" s="25">
        <f>E192</f>
        <v>1</v>
      </c>
      <c r="F191" s="25">
        <f t="shared" ref="F191:G191" si="35">F192</f>
        <v>298.3</v>
      </c>
      <c r="G191" s="51">
        <f t="shared" si="35"/>
        <v>5507.1021099999998</v>
      </c>
      <c r="H191" s="34"/>
      <c r="I191" s="35"/>
    </row>
    <row r="192" spans="1:9" ht="60" customHeight="1">
      <c r="A192" s="19"/>
      <c r="B192" s="72" t="s">
        <v>388</v>
      </c>
      <c r="C192" s="19">
        <v>2022</v>
      </c>
      <c r="D192" s="46"/>
      <c r="E192" s="64">
        <v>1</v>
      </c>
      <c r="F192" s="38">
        <v>298.3</v>
      </c>
      <c r="G192" s="73">
        <f>4329890.11/1000+1177.212</f>
        <v>5507.1021099999998</v>
      </c>
      <c r="H192" s="38" t="s">
        <v>389</v>
      </c>
      <c r="I192" s="46" t="s">
        <v>217</v>
      </c>
    </row>
    <row r="193" spans="1:9">
      <c r="A193" s="19" t="s">
        <v>162</v>
      </c>
      <c r="B193" s="24" t="s">
        <v>390</v>
      </c>
      <c r="C193" s="19"/>
      <c r="D193" s="46"/>
      <c r="E193" s="25">
        <f>SUM(E194:E194)</f>
        <v>1</v>
      </c>
      <c r="F193" s="25">
        <f>SUM(F194:F194)</f>
        <v>500</v>
      </c>
      <c r="G193" s="51">
        <f>SUM(G194:G194)</f>
        <v>8135.3703600000008</v>
      </c>
      <c r="H193" s="34"/>
      <c r="I193" s="35"/>
    </row>
    <row r="194" spans="1:9" ht="57" customHeight="1">
      <c r="A194" s="19"/>
      <c r="B194" s="72" t="s">
        <v>391</v>
      </c>
      <c r="C194" s="19">
        <v>2022</v>
      </c>
      <c r="D194" s="46"/>
      <c r="E194" s="64">
        <v>1</v>
      </c>
      <c r="F194" s="38">
        <v>500</v>
      </c>
      <c r="G194" s="73">
        <f>6941588.36/1000+1193.782</f>
        <v>8135.3703600000008</v>
      </c>
      <c r="H194" s="38" t="s">
        <v>392</v>
      </c>
      <c r="I194" s="46" t="s">
        <v>351</v>
      </c>
    </row>
    <row r="195" spans="1:9" ht="31.2">
      <c r="A195" s="46">
        <v>5</v>
      </c>
      <c r="B195" s="24" t="s">
        <v>199</v>
      </c>
      <c r="C195" s="46" t="s">
        <v>34</v>
      </c>
      <c r="D195" s="46" t="s">
        <v>34</v>
      </c>
      <c r="E195" s="45">
        <v>0</v>
      </c>
      <c r="F195" s="47">
        <v>0</v>
      </c>
      <c r="G195" s="27">
        <v>0</v>
      </c>
      <c r="H195" s="46" t="s">
        <v>34</v>
      </c>
      <c r="I195" s="50" t="s">
        <v>34</v>
      </c>
    </row>
    <row r="196" spans="1:9">
      <c r="A196" s="46" t="s">
        <v>78</v>
      </c>
      <c r="B196" s="48" t="s">
        <v>79</v>
      </c>
      <c r="C196" s="46" t="s">
        <v>34</v>
      </c>
      <c r="D196" s="46" t="s">
        <v>34</v>
      </c>
      <c r="E196" s="45" t="s">
        <v>34</v>
      </c>
      <c r="F196" s="47" t="s">
        <v>34</v>
      </c>
      <c r="G196" s="27" t="s">
        <v>34</v>
      </c>
      <c r="H196" s="46" t="s">
        <v>34</v>
      </c>
      <c r="I196" s="50" t="s">
        <v>34</v>
      </c>
    </row>
    <row r="197" spans="1:9" ht="31.2">
      <c r="A197" s="46" t="s">
        <v>80</v>
      </c>
      <c r="B197" s="50" t="s">
        <v>200</v>
      </c>
      <c r="C197" s="46" t="s">
        <v>34</v>
      </c>
      <c r="D197" s="46" t="s">
        <v>34</v>
      </c>
      <c r="E197" s="45" t="s">
        <v>34</v>
      </c>
      <c r="F197" s="47" t="s">
        <v>34</v>
      </c>
      <c r="G197" s="27" t="s">
        <v>34</v>
      </c>
      <c r="H197" s="46" t="s">
        <v>34</v>
      </c>
      <c r="I197" s="50" t="s">
        <v>34</v>
      </c>
    </row>
    <row r="198" spans="1:9">
      <c r="A198" s="46"/>
      <c r="B198" s="61"/>
      <c r="C198" s="46"/>
      <c r="D198" s="46"/>
      <c r="E198" s="45"/>
      <c r="F198" s="47"/>
      <c r="G198" s="27"/>
      <c r="H198" s="46"/>
      <c r="I198" s="50"/>
    </row>
    <row r="199" spans="1:9" ht="156">
      <c r="A199" s="46" t="s">
        <v>81</v>
      </c>
      <c r="B199" s="48" t="s">
        <v>201</v>
      </c>
      <c r="C199" s="46"/>
      <c r="D199" s="46"/>
      <c r="E199" s="45"/>
      <c r="F199" s="47"/>
      <c r="G199" s="27"/>
      <c r="H199" s="32"/>
      <c r="I199" s="33"/>
    </row>
    <row r="200" spans="1:9">
      <c r="A200" s="46" t="s">
        <v>72</v>
      </c>
      <c r="B200" s="48" t="s">
        <v>73</v>
      </c>
      <c r="C200" s="46"/>
      <c r="D200" s="46"/>
      <c r="E200" s="45"/>
      <c r="F200" s="47"/>
      <c r="G200" s="27"/>
      <c r="H200" s="32"/>
      <c r="I200" s="33"/>
    </row>
    <row r="201" spans="1:9" ht="46.8">
      <c r="A201" s="19">
        <v>6</v>
      </c>
      <c r="B201" s="24" t="s">
        <v>92</v>
      </c>
      <c r="C201" s="19" t="s">
        <v>34</v>
      </c>
      <c r="D201" s="46" t="s">
        <v>34</v>
      </c>
      <c r="E201" s="20">
        <v>0</v>
      </c>
      <c r="F201" s="25">
        <f>F202</f>
        <v>0</v>
      </c>
      <c r="G201" s="51">
        <f>G202</f>
        <v>0</v>
      </c>
      <c r="H201" s="19" t="s">
        <v>34</v>
      </c>
      <c r="I201" s="31" t="s">
        <v>34</v>
      </c>
    </row>
    <row r="202" spans="1:9" ht="46.8">
      <c r="A202" s="46" t="s">
        <v>82</v>
      </c>
      <c r="B202" s="22" t="s">
        <v>202</v>
      </c>
      <c r="C202" s="46"/>
      <c r="D202" s="46"/>
      <c r="E202" s="45"/>
      <c r="F202" s="47"/>
      <c r="G202" s="27"/>
      <c r="H202" s="21"/>
      <c r="I202" s="40"/>
    </row>
    <row r="203" spans="1:9" ht="140.4">
      <c r="A203" s="46" t="s">
        <v>164</v>
      </c>
      <c r="B203" s="22" t="s">
        <v>165</v>
      </c>
      <c r="C203" s="46"/>
      <c r="D203" s="46"/>
      <c r="E203" s="45"/>
      <c r="F203" s="47"/>
      <c r="G203" s="27"/>
      <c r="H203" s="21"/>
      <c r="I203" s="40"/>
    </row>
    <row r="204" spans="1:9">
      <c r="A204" s="46" t="s">
        <v>72</v>
      </c>
      <c r="B204" s="48" t="s">
        <v>73</v>
      </c>
      <c r="C204" s="46"/>
      <c r="D204" s="46"/>
      <c r="E204" s="45"/>
      <c r="F204" s="47"/>
      <c r="G204" s="27"/>
      <c r="H204" s="21"/>
      <c r="I204" s="40"/>
    </row>
    <row r="205" spans="1:9" ht="46.8">
      <c r="A205" s="19">
        <v>7</v>
      </c>
      <c r="B205" s="24" t="s">
        <v>93</v>
      </c>
      <c r="C205" s="19"/>
      <c r="D205" s="46"/>
      <c r="E205" s="25">
        <f>E208+E214+E364</f>
        <v>157</v>
      </c>
      <c r="F205" s="25">
        <f t="shared" ref="F205:G205" si="36">F208+F214+F364</f>
        <v>2471</v>
      </c>
      <c r="G205" s="51">
        <f t="shared" si="36"/>
        <v>5289.5558399999991</v>
      </c>
      <c r="H205" s="19"/>
      <c r="I205" s="31"/>
    </row>
    <row r="206" spans="1:9" ht="46.8">
      <c r="A206" s="46" t="s">
        <v>94</v>
      </c>
      <c r="B206" s="22" t="s">
        <v>95</v>
      </c>
      <c r="C206" s="46"/>
      <c r="D206" s="46"/>
      <c r="E206" s="45"/>
      <c r="F206" s="47"/>
      <c r="G206" s="27"/>
      <c r="H206" s="21"/>
      <c r="I206" s="40"/>
    </row>
    <row r="207" spans="1:9" ht="62.4">
      <c r="A207" s="46" t="s">
        <v>96</v>
      </c>
      <c r="B207" s="48" t="s">
        <v>97</v>
      </c>
      <c r="C207" s="46"/>
      <c r="D207" s="46"/>
      <c r="E207" s="45"/>
      <c r="F207" s="47"/>
      <c r="G207" s="27"/>
      <c r="H207" s="21"/>
      <c r="I207" s="40"/>
    </row>
    <row r="208" spans="1:9">
      <c r="A208" s="41" t="s">
        <v>166</v>
      </c>
      <c r="B208" s="24" t="s">
        <v>167</v>
      </c>
      <c r="C208" s="19"/>
      <c r="D208" s="46"/>
      <c r="E208" s="25">
        <f>SUM(E209:E213)</f>
        <v>5</v>
      </c>
      <c r="F208" s="25">
        <f t="shared" ref="F208:G208" si="37">SUM(F209:F213)</f>
        <v>25</v>
      </c>
      <c r="G208" s="51">
        <f t="shared" si="37"/>
        <v>113.24581999999999</v>
      </c>
      <c r="H208" s="42"/>
      <c r="I208" s="43"/>
    </row>
    <row r="209" spans="1:9" ht="46.8">
      <c r="A209" s="65"/>
      <c r="B209" s="37" t="s">
        <v>393</v>
      </c>
      <c r="C209" s="38">
        <v>2022</v>
      </c>
      <c r="D209" s="49">
        <v>0.23</v>
      </c>
      <c r="E209" s="46">
        <v>1</v>
      </c>
      <c r="F209" s="38">
        <v>5</v>
      </c>
      <c r="G209" s="52">
        <v>21.81391</v>
      </c>
      <c r="H209" s="38" t="s">
        <v>394</v>
      </c>
      <c r="I209" s="40" t="s">
        <v>213</v>
      </c>
    </row>
    <row r="210" spans="1:9" ht="62.4">
      <c r="A210" s="65"/>
      <c r="B210" s="37" t="s">
        <v>395</v>
      </c>
      <c r="C210" s="38">
        <v>2022</v>
      </c>
      <c r="D210" s="49">
        <v>0.23</v>
      </c>
      <c r="E210" s="46">
        <v>1</v>
      </c>
      <c r="F210" s="38">
        <v>5</v>
      </c>
      <c r="G210" s="52">
        <v>21.13973</v>
      </c>
      <c r="H210" s="38" t="s">
        <v>396</v>
      </c>
      <c r="I210" s="40" t="s">
        <v>249</v>
      </c>
    </row>
    <row r="211" spans="1:9" ht="62.4">
      <c r="A211" s="65"/>
      <c r="B211" s="37" t="s">
        <v>397</v>
      </c>
      <c r="C211" s="38">
        <v>2022</v>
      </c>
      <c r="D211" s="49">
        <v>0.23</v>
      </c>
      <c r="E211" s="46">
        <v>1</v>
      </c>
      <c r="F211" s="38">
        <v>5</v>
      </c>
      <c r="G211" s="52">
        <v>14.156139999999999</v>
      </c>
      <c r="H211" s="38" t="s">
        <v>398</v>
      </c>
      <c r="I211" s="40" t="s">
        <v>399</v>
      </c>
    </row>
    <row r="212" spans="1:9" ht="62.4">
      <c r="A212" s="65"/>
      <c r="B212" s="37" t="s">
        <v>400</v>
      </c>
      <c r="C212" s="38">
        <v>2022</v>
      </c>
      <c r="D212" s="49">
        <v>0.23</v>
      </c>
      <c r="E212" s="46">
        <v>1</v>
      </c>
      <c r="F212" s="38">
        <v>5</v>
      </c>
      <c r="G212" s="52">
        <v>34.550539999999998</v>
      </c>
      <c r="H212" s="38" t="s">
        <v>401</v>
      </c>
      <c r="I212" s="40" t="s">
        <v>402</v>
      </c>
    </row>
    <row r="213" spans="1:9" ht="62.4">
      <c r="A213" s="65"/>
      <c r="B213" s="37" t="s">
        <v>403</v>
      </c>
      <c r="C213" s="38">
        <v>2022</v>
      </c>
      <c r="D213" s="49">
        <v>0.23</v>
      </c>
      <c r="E213" s="46">
        <v>1</v>
      </c>
      <c r="F213" s="38">
        <v>5</v>
      </c>
      <c r="G213" s="52">
        <v>21.5855</v>
      </c>
      <c r="H213" s="38" t="s">
        <v>404</v>
      </c>
      <c r="I213" s="40" t="s">
        <v>405</v>
      </c>
    </row>
    <row r="214" spans="1:9">
      <c r="A214" s="41" t="s">
        <v>168</v>
      </c>
      <c r="B214" s="24" t="s">
        <v>169</v>
      </c>
      <c r="C214" s="19"/>
      <c r="D214" s="46"/>
      <c r="E214" s="57">
        <f>SUM(E215:E363)</f>
        <v>149</v>
      </c>
      <c r="F214" s="57">
        <f t="shared" ref="F214:G214" si="38">SUM(F215:F363)</f>
        <v>2296</v>
      </c>
      <c r="G214" s="51">
        <f t="shared" si="38"/>
        <v>5016.8709799999988</v>
      </c>
      <c r="H214" s="44"/>
      <c r="I214" s="53"/>
    </row>
    <row r="215" spans="1:9" ht="44.25" customHeight="1">
      <c r="A215" s="65"/>
      <c r="B215" s="74" t="s">
        <v>406</v>
      </c>
      <c r="C215" s="38">
        <v>2022</v>
      </c>
      <c r="D215" s="49">
        <v>0.4</v>
      </c>
      <c r="E215" s="64">
        <v>1</v>
      </c>
      <c r="F215" s="38">
        <v>15</v>
      </c>
      <c r="G215" s="52">
        <v>34.651120000000006</v>
      </c>
      <c r="H215" s="38" t="s">
        <v>407</v>
      </c>
      <c r="I215" s="40" t="s">
        <v>408</v>
      </c>
    </row>
    <row r="216" spans="1:9" ht="44.25" customHeight="1">
      <c r="A216" s="65"/>
      <c r="B216" s="37" t="s">
        <v>409</v>
      </c>
      <c r="C216" s="38">
        <v>2022</v>
      </c>
      <c r="D216" s="49">
        <v>0.4</v>
      </c>
      <c r="E216" s="64">
        <v>1</v>
      </c>
      <c r="F216" s="38">
        <v>15</v>
      </c>
      <c r="G216" s="52">
        <v>34.646920000000001</v>
      </c>
      <c r="H216" s="38" t="s">
        <v>410</v>
      </c>
      <c r="I216" s="40" t="s">
        <v>411</v>
      </c>
    </row>
    <row r="217" spans="1:9" ht="44.25" customHeight="1">
      <c r="A217" s="65"/>
      <c r="B217" s="37" t="s">
        <v>412</v>
      </c>
      <c r="C217" s="38">
        <v>2022</v>
      </c>
      <c r="D217" s="49">
        <v>0.4</v>
      </c>
      <c r="E217" s="64">
        <v>1</v>
      </c>
      <c r="F217" s="38">
        <v>15</v>
      </c>
      <c r="G217" s="52">
        <v>34.207569999999997</v>
      </c>
      <c r="H217" s="38" t="s">
        <v>413</v>
      </c>
      <c r="I217" s="40" t="s">
        <v>414</v>
      </c>
    </row>
    <row r="218" spans="1:9" ht="44.25" customHeight="1">
      <c r="A218" s="65"/>
      <c r="B218" s="37" t="s">
        <v>415</v>
      </c>
      <c r="C218" s="38">
        <v>2022</v>
      </c>
      <c r="D218" s="49">
        <v>0.4</v>
      </c>
      <c r="E218" s="64">
        <v>1</v>
      </c>
      <c r="F218" s="38">
        <v>15</v>
      </c>
      <c r="G218" s="52">
        <v>32.750610000000002</v>
      </c>
      <c r="H218" s="38" t="s">
        <v>416</v>
      </c>
      <c r="I218" s="40" t="s">
        <v>217</v>
      </c>
    </row>
    <row r="219" spans="1:9" ht="44.25" customHeight="1">
      <c r="A219" s="65"/>
      <c r="B219" s="37" t="s">
        <v>417</v>
      </c>
      <c r="C219" s="38">
        <v>2022</v>
      </c>
      <c r="D219" s="49">
        <v>0.4</v>
      </c>
      <c r="E219" s="64">
        <v>1</v>
      </c>
      <c r="F219" s="38">
        <v>15</v>
      </c>
      <c r="G219" s="52">
        <v>34.560550000000006</v>
      </c>
      <c r="H219" s="38" t="s">
        <v>418</v>
      </c>
      <c r="I219" s="40" t="s">
        <v>419</v>
      </c>
    </row>
    <row r="220" spans="1:9" ht="44.25" customHeight="1">
      <c r="A220" s="65"/>
      <c r="B220" s="37" t="s">
        <v>420</v>
      </c>
      <c r="C220" s="38">
        <v>2022</v>
      </c>
      <c r="D220" s="49">
        <v>0.4</v>
      </c>
      <c r="E220" s="64">
        <v>1</v>
      </c>
      <c r="F220" s="38">
        <v>15</v>
      </c>
      <c r="G220" s="52">
        <v>34.647150000000003</v>
      </c>
      <c r="H220" s="38" t="s">
        <v>421</v>
      </c>
      <c r="I220" s="40" t="s">
        <v>419</v>
      </c>
    </row>
    <row r="221" spans="1:9" ht="44.25" customHeight="1">
      <c r="A221" s="65"/>
      <c r="B221" s="37" t="s">
        <v>422</v>
      </c>
      <c r="C221" s="38">
        <v>2022</v>
      </c>
      <c r="D221" s="49">
        <v>0.4</v>
      </c>
      <c r="E221" s="64">
        <v>1</v>
      </c>
      <c r="F221" s="38">
        <v>15</v>
      </c>
      <c r="G221" s="52">
        <v>25.621770000000001</v>
      </c>
      <c r="H221" s="38" t="s">
        <v>423</v>
      </c>
      <c r="I221" s="40" t="s">
        <v>405</v>
      </c>
    </row>
    <row r="222" spans="1:9" ht="44.25" customHeight="1">
      <c r="A222" s="65"/>
      <c r="B222" s="37" t="s">
        <v>424</v>
      </c>
      <c r="C222" s="38">
        <v>2022</v>
      </c>
      <c r="D222" s="49">
        <v>0.4</v>
      </c>
      <c r="E222" s="64">
        <v>1</v>
      </c>
      <c r="F222" s="38">
        <v>15</v>
      </c>
      <c r="G222" s="52">
        <v>25.70579</v>
      </c>
      <c r="H222" s="38" t="s">
        <v>425</v>
      </c>
      <c r="I222" s="40" t="s">
        <v>236</v>
      </c>
    </row>
    <row r="223" spans="1:9" ht="44.25" customHeight="1">
      <c r="A223" s="65"/>
      <c r="B223" s="37" t="s">
        <v>426</v>
      </c>
      <c r="C223" s="38">
        <v>2022</v>
      </c>
      <c r="D223" s="49">
        <v>0.4</v>
      </c>
      <c r="E223" s="64">
        <v>1</v>
      </c>
      <c r="F223" s="38">
        <v>15</v>
      </c>
      <c r="G223" s="52">
        <v>34.158989999999996</v>
      </c>
      <c r="H223" s="38" t="s">
        <v>427</v>
      </c>
      <c r="I223" s="40" t="s">
        <v>405</v>
      </c>
    </row>
    <row r="224" spans="1:9" ht="44.25" customHeight="1">
      <c r="A224" s="65"/>
      <c r="B224" s="37" t="s">
        <v>428</v>
      </c>
      <c r="C224" s="38">
        <v>2022</v>
      </c>
      <c r="D224" s="49">
        <v>0.4</v>
      </c>
      <c r="E224" s="64">
        <v>1</v>
      </c>
      <c r="F224" s="38">
        <v>15</v>
      </c>
      <c r="G224" s="52">
        <v>34.651120000000006</v>
      </c>
      <c r="H224" s="38" t="s">
        <v>429</v>
      </c>
      <c r="I224" s="40" t="s">
        <v>408</v>
      </c>
    </row>
    <row r="225" spans="1:9" ht="44.25" customHeight="1">
      <c r="A225" s="65"/>
      <c r="B225" s="37" t="s">
        <v>430</v>
      </c>
      <c r="C225" s="38">
        <v>2022</v>
      </c>
      <c r="D225" s="49">
        <v>0.4</v>
      </c>
      <c r="E225" s="64">
        <v>1</v>
      </c>
      <c r="F225" s="38">
        <v>15</v>
      </c>
      <c r="G225" s="52">
        <v>34.455839999999995</v>
      </c>
      <c r="H225" s="38" t="s">
        <v>431</v>
      </c>
      <c r="I225" s="40" t="s">
        <v>213</v>
      </c>
    </row>
    <row r="226" spans="1:9" ht="44.25" customHeight="1">
      <c r="A226" s="65"/>
      <c r="B226" s="37" t="s">
        <v>432</v>
      </c>
      <c r="C226" s="38">
        <v>2022</v>
      </c>
      <c r="D226" s="49">
        <v>0.4</v>
      </c>
      <c r="E226" s="64">
        <v>1</v>
      </c>
      <c r="F226" s="38">
        <v>15</v>
      </c>
      <c r="G226" s="52">
        <v>34.23104</v>
      </c>
      <c r="H226" s="38" t="s">
        <v>433</v>
      </c>
      <c r="I226" s="40" t="s">
        <v>262</v>
      </c>
    </row>
    <row r="227" spans="1:9" ht="44.25" customHeight="1">
      <c r="A227" s="65"/>
      <c r="B227" s="37" t="s">
        <v>434</v>
      </c>
      <c r="C227" s="38">
        <v>2022</v>
      </c>
      <c r="D227" s="49">
        <v>0.4</v>
      </c>
      <c r="E227" s="64">
        <v>1</v>
      </c>
      <c r="F227" s="38">
        <v>15</v>
      </c>
      <c r="G227" s="52">
        <v>34.652650000000001</v>
      </c>
      <c r="H227" s="38" t="s">
        <v>435</v>
      </c>
      <c r="I227" s="40" t="s">
        <v>436</v>
      </c>
    </row>
    <row r="228" spans="1:9" ht="44.25" customHeight="1">
      <c r="A228" s="65"/>
      <c r="B228" s="37" t="s">
        <v>437</v>
      </c>
      <c r="C228" s="38">
        <v>2022</v>
      </c>
      <c r="D228" s="49">
        <v>0.4</v>
      </c>
      <c r="E228" s="64">
        <v>1</v>
      </c>
      <c r="F228" s="38">
        <v>15</v>
      </c>
      <c r="G228" s="52">
        <v>34.584760000000003</v>
      </c>
      <c r="H228" s="38" t="s">
        <v>438</v>
      </c>
      <c r="I228" s="40" t="s">
        <v>419</v>
      </c>
    </row>
    <row r="229" spans="1:9" ht="44.25" customHeight="1">
      <c r="A229" s="65"/>
      <c r="B229" s="37" t="s">
        <v>439</v>
      </c>
      <c r="C229" s="38">
        <v>2022</v>
      </c>
      <c r="D229" s="49">
        <v>0.4</v>
      </c>
      <c r="E229" s="64">
        <v>1</v>
      </c>
      <c r="F229" s="38">
        <v>15</v>
      </c>
      <c r="G229" s="52">
        <v>34.470010000000002</v>
      </c>
      <c r="H229" s="38" t="s">
        <v>440</v>
      </c>
      <c r="I229" s="40" t="s">
        <v>236</v>
      </c>
    </row>
    <row r="230" spans="1:9" ht="44.25" customHeight="1">
      <c r="A230" s="65"/>
      <c r="B230" s="37" t="s">
        <v>441</v>
      </c>
      <c r="C230" s="38">
        <v>2022</v>
      </c>
      <c r="D230" s="49">
        <v>0.4</v>
      </c>
      <c r="E230" s="64">
        <v>1</v>
      </c>
      <c r="F230" s="38">
        <v>15</v>
      </c>
      <c r="G230" s="52">
        <v>34.630830000000003</v>
      </c>
      <c r="H230" s="38" t="s">
        <v>442</v>
      </c>
      <c r="I230" s="40" t="s">
        <v>236</v>
      </c>
    </row>
    <row r="231" spans="1:9" ht="44.25" customHeight="1">
      <c r="A231" s="65"/>
      <c r="B231" s="37" t="s">
        <v>443</v>
      </c>
      <c r="C231" s="38">
        <v>2022</v>
      </c>
      <c r="D231" s="49">
        <v>0.4</v>
      </c>
      <c r="E231" s="64">
        <v>1</v>
      </c>
      <c r="F231" s="38">
        <v>15</v>
      </c>
      <c r="G231" s="52">
        <v>34.658410000000003</v>
      </c>
      <c r="H231" s="38" t="s">
        <v>444</v>
      </c>
      <c r="I231" s="40" t="s">
        <v>219</v>
      </c>
    </row>
    <row r="232" spans="1:9" ht="44.25" customHeight="1">
      <c r="A232" s="65"/>
      <c r="B232" s="37" t="s">
        <v>445</v>
      </c>
      <c r="C232" s="38">
        <v>2022</v>
      </c>
      <c r="D232" s="49">
        <v>0.4</v>
      </c>
      <c r="E232" s="64">
        <v>1</v>
      </c>
      <c r="F232" s="38">
        <v>15</v>
      </c>
      <c r="G232" s="52">
        <v>25.741009999999999</v>
      </c>
      <c r="H232" s="38" t="s">
        <v>446</v>
      </c>
      <c r="I232" s="40" t="s">
        <v>447</v>
      </c>
    </row>
    <row r="233" spans="1:9" ht="44.25" customHeight="1">
      <c r="A233" s="65"/>
      <c r="B233" s="37" t="s">
        <v>448</v>
      </c>
      <c r="C233" s="38">
        <v>2022</v>
      </c>
      <c r="D233" s="49">
        <v>0.4</v>
      </c>
      <c r="E233" s="64">
        <v>1</v>
      </c>
      <c r="F233" s="38">
        <v>15</v>
      </c>
      <c r="G233" s="52">
        <v>34.663650000000004</v>
      </c>
      <c r="H233" s="38" t="s">
        <v>449</v>
      </c>
      <c r="I233" s="40" t="s">
        <v>436</v>
      </c>
    </row>
    <row r="234" spans="1:9" ht="44.25" customHeight="1">
      <c r="A234" s="65"/>
      <c r="B234" s="37" t="s">
        <v>450</v>
      </c>
      <c r="C234" s="38">
        <v>2022</v>
      </c>
      <c r="D234" s="49">
        <v>0.4</v>
      </c>
      <c r="E234" s="64">
        <v>1</v>
      </c>
      <c r="F234" s="38">
        <v>15</v>
      </c>
      <c r="G234" s="52">
        <v>31.39095</v>
      </c>
      <c r="H234" s="38" t="s">
        <v>451</v>
      </c>
      <c r="I234" s="40" t="s">
        <v>236</v>
      </c>
    </row>
    <row r="235" spans="1:9" ht="44.25" customHeight="1">
      <c r="A235" s="65"/>
      <c r="B235" s="37" t="s">
        <v>452</v>
      </c>
      <c r="C235" s="38">
        <v>2022</v>
      </c>
      <c r="D235" s="49">
        <v>0.4</v>
      </c>
      <c r="E235" s="64">
        <v>1</v>
      </c>
      <c r="F235" s="38">
        <v>15</v>
      </c>
      <c r="G235" s="52">
        <v>34.656959999999998</v>
      </c>
      <c r="H235" s="38" t="s">
        <v>453</v>
      </c>
      <c r="I235" s="40" t="s">
        <v>408</v>
      </c>
    </row>
    <row r="236" spans="1:9" ht="44.25" customHeight="1">
      <c r="A236" s="65"/>
      <c r="B236" s="37" t="s">
        <v>454</v>
      </c>
      <c r="C236" s="38">
        <v>2022</v>
      </c>
      <c r="D236" s="49">
        <v>0.4</v>
      </c>
      <c r="E236" s="64">
        <v>1</v>
      </c>
      <c r="F236" s="38">
        <v>15</v>
      </c>
      <c r="G236" s="52">
        <v>34.609000000000002</v>
      </c>
      <c r="H236" s="38" t="s">
        <v>455</v>
      </c>
      <c r="I236" s="40" t="s">
        <v>213</v>
      </c>
    </row>
    <row r="237" spans="1:9" ht="44.25" customHeight="1">
      <c r="A237" s="65"/>
      <c r="B237" s="37" t="s">
        <v>456</v>
      </c>
      <c r="C237" s="38">
        <v>2022</v>
      </c>
      <c r="D237" s="49">
        <v>0.4</v>
      </c>
      <c r="E237" s="64">
        <v>1</v>
      </c>
      <c r="F237" s="38">
        <v>15</v>
      </c>
      <c r="G237" s="52">
        <v>34.656959999999998</v>
      </c>
      <c r="H237" s="38" t="s">
        <v>457</v>
      </c>
      <c r="I237" s="40" t="s">
        <v>408</v>
      </c>
    </row>
    <row r="238" spans="1:9" ht="44.25" customHeight="1">
      <c r="A238" s="65"/>
      <c r="B238" s="37" t="s">
        <v>458</v>
      </c>
      <c r="C238" s="38">
        <v>2022</v>
      </c>
      <c r="D238" s="49">
        <v>0.4</v>
      </c>
      <c r="E238" s="64">
        <v>1</v>
      </c>
      <c r="F238" s="38">
        <v>15</v>
      </c>
      <c r="G238" s="52">
        <v>25.70579</v>
      </c>
      <c r="H238" s="38" t="s">
        <v>459</v>
      </c>
      <c r="I238" s="40" t="s">
        <v>236</v>
      </c>
    </row>
    <row r="239" spans="1:9" ht="44.25" customHeight="1">
      <c r="A239" s="65"/>
      <c r="B239" s="37" t="s">
        <v>460</v>
      </c>
      <c r="C239" s="38">
        <v>2022</v>
      </c>
      <c r="D239" s="49">
        <v>0.4</v>
      </c>
      <c r="E239" s="64">
        <v>1</v>
      </c>
      <c r="F239" s="38">
        <v>15</v>
      </c>
      <c r="G239" s="52">
        <v>34.656959999999998</v>
      </c>
      <c r="H239" s="38" t="s">
        <v>461</v>
      </c>
      <c r="I239" s="40" t="s">
        <v>408</v>
      </c>
    </row>
    <row r="240" spans="1:9" ht="44.25" customHeight="1">
      <c r="A240" s="65"/>
      <c r="B240" s="37" t="s">
        <v>462</v>
      </c>
      <c r="C240" s="38">
        <v>2022</v>
      </c>
      <c r="D240" s="49">
        <v>0.4</v>
      </c>
      <c r="E240" s="64">
        <v>1</v>
      </c>
      <c r="F240" s="38">
        <v>15</v>
      </c>
      <c r="G240" s="52">
        <v>36.302300000000002</v>
      </c>
      <c r="H240" s="38" t="s">
        <v>463</v>
      </c>
      <c r="I240" s="40" t="s">
        <v>411</v>
      </c>
    </row>
    <row r="241" spans="1:9" ht="44.25" customHeight="1">
      <c r="A241" s="65"/>
      <c r="B241" s="37" t="s">
        <v>464</v>
      </c>
      <c r="C241" s="38">
        <v>2022</v>
      </c>
      <c r="D241" s="49">
        <v>0.4</v>
      </c>
      <c r="E241" s="64">
        <v>1</v>
      </c>
      <c r="F241" s="38">
        <v>15</v>
      </c>
      <c r="G241" s="52">
        <v>34.011000000000003</v>
      </c>
      <c r="H241" s="38" t="s">
        <v>465</v>
      </c>
      <c r="I241" s="40" t="s">
        <v>219</v>
      </c>
    </row>
    <row r="242" spans="1:9" ht="44.25" customHeight="1">
      <c r="A242" s="65"/>
      <c r="B242" s="37" t="s">
        <v>466</v>
      </c>
      <c r="C242" s="38">
        <v>2022</v>
      </c>
      <c r="D242" s="49">
        <v>0.4</v>
      </c>
      <c r="E242" s="64">
        <v>1</v>
      </c>
      <c r="F242" s="38">
        <v>15</v>
      </c>
      <c r="G242" s="52">
        <v>37.211510000000004</v>
      </c>
      <c r="H242" s="38" t="s">
        <v>467</v>
      </c>
      <c r="I242" s="40" t="s">
        <v>402</v>
      </c>
    </row>
    <row r="243" spans="1:9" ht="44.25" customHeight="1">
      <c r="A243" s="65"/>
      <c r="B243" s="37" t="s">
        <v>468</v>
      </c>
      <c r="C243" s="38">
        <v>2022</v>
      </c>
      <c r="D243" s="49">
        <v>0.4</v>
      </c>
      <c r="E243" s="64">
        <v>1</v>
      </c>
      <c r="F243" s="38">
        <v>15</v>
      </c>
      <c r="G243" s="52">
        <v>34.601399999999998</v>
      </c>
      <c r="H243" s="38" t="s">
        <v>469</v>
      </c>
      <c r="I243" s="40" t="s">
        <v>411</v>
      </c>
    </row>
    <row r="244" spans="1:9" ht="44.25" customHeight="1">
      <c r="A244" s="65"/>
      <c r="B244" s="37" t="s">
        <v>470</v>
      </c>
      <c r="C244" s="38">
        <v>2022</v>
      </c>
      <c r="D244" s="49">
        <v>0.4</v>
      </c>
      <c r="E244" s="64">
        <v>1</v>
      </c>
      <c r="F244" s="38">
        <v>15</v>
      </c>
      <c r="G244" s="52">
        <v>17.897459999999999</v>
      </c>
      <c r="H244" s="38" t="s">
        <v>471</v>
      </c>
      <c r="I244" s="40" t="s">
        <v>472</v>
      </c>
    </row>
    <row r="245" spans="1:9" ht="44.25" customHeight="1">
      <c r="A245" s="65"/>
      <c r="B245" s="37" t="s">
        <v>473</v>
      </c>
      <c r="C245" s="38">
        <v>2022</v>
      </c>
      <c r="D245" s="49">
        <v>0.4</v>
      </c>
      <c r="E245" s="64">
        <v>1</v>
      </c>
      <c r="F245" s="38">
        <v>15</v>
      </c>
      <c r="G245" s="52">
        <v>34.61835</v>
      </c>
      <c r="H245" s="38" t="s">
        <v>474</v>
      </c>
      <c r="I245" s="40" t="s">
        <v>213</v>
      </c>
    </row>
    <row r="246" spans="1:9" ht="44.25" customHeight="1">
      <c r="A246" s="65"/>
      <c r="B246" s="37" t="s">
        <v>475</v>
      </c>
      <c r="C246" s="38">
        <v>2022</v>
      </c>
      <c r="D246" s="49">
        <v>0.4</v>
      </c>
      <c r="E246" s="64">
        <v>1</v>
      </c>
      <c r="F246" s="38">
        <v>15</v>
      </c>
      <c r="G246" s="52">
        <v>34.610440000000004</v>
      </c>
      <c r="H246" s="38" t="s">
        <v>476</v>
      </c>
      <c r="I246" s="40" t="s">
        <v>219</v>
      </c>
    </row>
    <row r="247" spans="1:9" ht="44.25" customHeight="1">
      <c r="A247" s="65"/>
      <c r="B247" s="37" t="s">
        <v>477</v>
      </c>
      <c r="C247" s="38">
        <v>2022</v>
      </c>
      <c r="D247" s="49">
        <v>0.4</v>
      </c>
      <c r="E247" s="64">
        <v>1</v>
      </c>
      <c r="F247" s="38">
        <v>15</v>
      </c>
      <c r="G247" s="52">
        <v>34.772010000000002</v>
      </c>
      <c r="H247" s="38" t="s">
        <v>478</v>
      </c>
      <c r="I247" s="40" t="s">
        <v>213</v>
      </c>
    </row>
    <row r="248" spans="1:9" ht="44.25" customHeight="1">
      <c r="A248" s="65"/>
      <c r="B248" s="37" t="s">
        <v>479</v>
      </c>
      <c r="C248" s="38">
        <v>2022</v>
      </c>
      <c r="D248" s="49">
        <v>0.4</v>
      </c>
      <c r="E248" s="64">
        <v>1</v>
      </c>
      <c r="F248" s="38">
        <v>15</v>
      </c>
      <c r="G248" s="52">
        <v>34.569769999999998</v>
      </c>
      <c r="H248" s="38" t="s">
        <v>480</v>
      </c>
      <c r="I248" s="40" t="s">
        <v>213</v>
      </c>
    </row>
    <row r="249" spans="1:9" ht="44.25" customHeight="1">
      <c r="A249" s="65"/>
      <c r="B249" s="37" t="s">
        <v>481</v>
      </c>
      <c r="C249" s="38">
        <v>2022</v>
      </c>
      <c r="D249" s="49">
        <v>0.4</v>
      </c>
      <c r="E249" s="64">
        <v>1</v>
      </c>
      <c r="F249" s="38">
        <v>15</v>
      </c>
      <c r="G249" s="52">
        <v>37.210149999999999</v>
      </c>
      <c r="H249" s="38" t="s">
        <v>482</v>
      </c>
      <c r="I249" s="40" t="s">
        <v>414</v>
      </c>
    </row>
    <row r="250" spans="1:9" ht="44.25" customHeight="1">
      <c r="A250" s="65"/>
      <c r="B250" s="37" t="s">
        <v>483</v>
      </c>
      <c r="C250" s="38">
        <v>2022</v>
      </c>
      <c r="D250" s="49">
        <v>0.4</v>
      </c>
      <c r="E250" s="64">
        <v>1</v>
      </c>
      <c r="F250" s="38">
        <v>15</v>
      </c>
      <c r="G250" s="52">
        <v>34.61835</v>
      </c>
      <c r="H250" s="38" t="s">
        <v>484</v>
      </c>
      <c r="I250" s="40" t="s">
        <v>213</v>
      </c>
    </row>
    <row r="251" spans="1:9" ht="44.25" customHeight="1">
      <c r="A251" s="65"/>
      <c r="B251" s="37" t="s">
        <v>485</v>
      </c>
      <c r="C251" s="38">
        <v>2022</v>
      </c>
      <c r="D251" s="49">
        <v>0.4</v>
      </c>
      <c r="E251" s="64">
        <v>1</v>
      </c>
      <c r="F251" s="38">
        <v>15</v>
      </c>
      <c r="G251" s="52">
        <v>34.656959999999998</v>
      </c>
      <c r="H251" s="38" t="s">
        <v>486</v>
      </c>
      <c r="I251" s="40" t="s">
        <v>408</v>
      </c>
    </row>
    <row r="252" spans="1:9" ht="44.25" customHeight="1">
      <c r="A252" s="65"/>
      <c r="B252" s="37" t="s">
        <v>487</v>
      </c>
      <c r="C252" s="38">
        <v>2022</v>
      </c>
      <c r="D252" s="49">
        <v>0.4</v>
      </c>
      <c r="E252" s="64">
        <v>1</v>
      </c>
      <c r="F252" s="38">
        <v>15</v>
      </c>
      <c r="G252" s="52">
        <v>34.61835</v>
      </c>
      <c r="H252" s="38" t="s">
        <v>488</v>
      </c>
      <c r="I252" s="40" t="s">
        <v>213</v>
      </c>
    </row>
    <row r="253" spans="1:9" ht="44.25" customHeight="1">
      <c r="A253" s="65"/>
      <c r="B253" s="37" t="s">
        <v>489</v>
      </c>
      <c r="C253" s="38">
        <v>2022</v>
      </c>
      <c r="D253" s="49">
        <v>0.4</v>
      </c>
      <c r="E253" s="64">
        <v>1</v>
      </c>
      <c r="F253" s="38">
        <v>15</v>
      </c>
      <c r="G253" s="52">
        <v>34.772010000000002</v>
      </c>
      <c r="H253" s="38" t="s">
        <v>490</v>
      </c>
      <c r="I253" s="40" t="s">
        <v>213</v>
      </c>
    </row>
    <row r="254" spans="1:9" ht="44.25" customHeight="1">
      <c r="A254" s="65"/>
      <c r="B254" s="37" t="s">
        <v>491</v>
      </c>
      <c r="C254" s="38">
        <v>2022</v>
      </c>
      <c r="D254" s="49">
        <v>0.4</v>
      </c>
      <c r="E254" s="64">
        <v>1</v>
      </c>
      <c r="F254" s="38">
        <v>15</v>
      </c>
      <c r="G254" s="52">
        <v>34.657429999999998</v>
      </c>
      <c r="H254" s="38" t="s">
        <v>492</v>
      </c>
      <c r="I254" s="40" t="s">
        <v>213</v>
      </c>
    </row>
    <row r="255" spans="1:9" ht="44.25" customHeight="1">
      <c r="A255" s="65"/>
      <c r="B255" s="37" t="s">
        <v>493</v>
      </c>
      <c r="C255" s="38">
        <v>2022</v>
      </c>
      <c r="D255" s="49">
        <v>0.4</v>
      </c>
      <c r="E255" s="64">
        <v>1</v>
      </c>
      <c r="F255" s="38">
        <v>15</v>
      </c>
      <c r="G255" s="52">
        <v>33.278059999999996</v>
      </c>
      <c r="H255" s="38" t="s">
        <v>494</v>
      </c>
      <c r="I255" s="40" t="s">
        <v>236</v>
      </c>
    </row>
    <row r="256" spans="1:9" ht="44.25" customHeight="1">
      <c r="A256" s="65"/>
      <c r="B256" s="37" t="s">
        <v>495</v>
      </c>
      <c r="C256" s="38">
        <v>2022</v>
      </c>
      <c r="D256" s="49">
        <v>0.4</v>
      </c>
      <c r="E256" s="64">
        <v>1</v>
      </c>
      <c r="F256" s="38">
        <v>15</v>
      </c>
      <c r="G256" s="52">
        <v>34.510559999999998</v>
      </c>
      <c r="H256" s="38" t="s">
        <v>496</v>
      </c>
      <c r="I256" s="40" t="s">
        <v>236</v>
      </c>
    </row>
    <row r="257" spans="1:9" ht="44.25" customHeight="1">
      <c r="A257" s="65"/>
      <c r="B257" s="37" t="s">
        <v>497</v>
      </c>
      <c r="C257" s="38">
        <v>2022</v>
      </c>
      <c r="D257" s="49">
        <v>0.4</v>
      </c>
      <c r="E257" s="64">
        <v>1</v>
      </c>
      <c r="F257" s="38">
        <v>15</v>
      </c>
      <c r="G257" s="52">
        <v>34.207569999999997</v>
      </c>
      <c r="H257" s="38" t="s">
        <v>498</v>
      </c>
      <c r="I257" s="40" t="s">
        <v>414</v>
      </c>
    </row>
    <row r="258" spans="1:9" ht="44.25" customHeight="1">
      <c r="A258" s="65"/>
      <c r="B258" s="37" t="s">
        <v>499</v>
      </c>
      <c r="C258" s="38">
        <v>2022</v>
      </c>
      <c r="D258" s="49">
        <v>0.4</v>
      </c>
      <c r="E258" s="64">
        <v>1</v>
      </c>
      <c r="F258" s="38">
        <v>15</v>
      </c>
      <c r="G258" s="52">
        <v>36.302300000000002</v>
      </c>
      <c r="H258" s="38" t="s">
        <v>500</v>
      </c>
      <c r="I258" s="40" t="s">
        <v>411</v>
      </c>
    </row>
    <row r="259" spans="1:9" ht="44.25" customHeight="1">
      <c r="A259" s="65"/>
      <c r="B259" s="37" t="s">
        <v>501</v>
      </c>
      <c r="C259" s="38">
        <v>2022</v>
      </c>
      <c r="D259" s="49">
        <v>0.4</v>
      </c>
      <c r="E259" s="64">
        <v>1</v>
      </c>
      <c r="F259" s="38">
        <v>15</v>
      </c>
      <c r="G259" s="52">
        <v>31.563359999999999</v>
      </c>
      <c r="H259" s="38" t="s">
        <v>502</v>
      </c>
      <c r="I259" s="40" t="s">
        <v>288</v>
      </c>
    </row>
    <row r="260" spans="1:9" ht="44.25" customHeight="1">
      <c r="A260" s="65"/>
      <c r="B260" s="37" t="s">
        <v>503</v>
      </c>
      <c r="C260" s="38">
        <v>2022</v>
      </c>
      <c r="D260" s="49">
        <v>0.4</v>
      </c>
      <c r="E260" s="64">
        <v>1</v>
      </c>
      <c r="F260" s="38">
        <v>15</v>
      </c>
      <c r="G260" s="52">
        <v>34.028449999999999</v>
      </c>
      <c r="H260" s="38" t="s">
        <v>504</v>
      </c>
      <c r="I260" s="40" t="s">
        <v>436</v>
      </c>
    </row>
    <row r="261" spans="1:9" ht="44.25" customHeight="1">
      <c r="A261" s="65"/>
      <c r="B261" s="37" t="s">
        <v>505</v>
      </c>
      <c r="C261" s="38">
        <v>2022</v>
      </c>
      <c r="D261" s="49">
        <v>0.4</v>
      </c>
      <c r="E261" s="64">
        <v>1</v>
      </c>
      <c r="F261" s="38">
        <v>15</v>
      </c>
      <c r="G261" s="52">
        <v>34.623379999999997</v>
      </c>
      <c r="H261" s="38" t="s">
        <v>506</v>
      </c>
      <c r="I261" s="40" t="s">
        <v>405</v>
      </c>
    </row>
    <row r="262" spans="1:9" ht="44.25" customHeight="1">
      <c r="A262" s="65"/>
      <c r="B262" s="37" t="s">
        <v>507</v>
      </c>
      <c r="C262" s="38">
        <v>2022</v>
      </c>
      <c r="D262" s="49">
        <v>0.4</v>
      </c>
      <c r="E262" s="64">
        <v>1</v>
      </c>
      <c r="F262" s="38">
        <v>15</v>
      </c>
      <c r="G262" s="52">
        <v>34.651120000000006</v>
      </c>
      <c r="H262" s="38" t="s">
        <v>508</v>
      </c>
      <c r="I262" s="40" t="s">
        <v>408</v>
      </c>
    </row>
    <row r="263" spans="1:9" ht="44.25" customHeight="1">
      <c r="A263" s="65"/>
      <c r="B263" s="37" t="s">
        <v>509</v>
      </c>
      <c r="C263" s="38">
        <v>2022</v>
      </c>
      <c r="D263" s="49">
        <v>0.4</v>
      </c>
      <c r="E263" s="64">
        <v>1</v>
      </c>
      <c r="F263" s="38">
        <v>15</v>
      </c>
      <c r="G263" s="52">
        <v>34.648499999999999</v>
      </c>
      <c r="H263" s="38" t="s">
        <v>510</v>
      </c>
      <c r="I263" s="40" t="s">
        <v>436</v>
      </c>
    </row>
    <row r="264" spans="1:9" ht="44.25" customHeight="1">
      <c r="A264" s="65"/>
      <c r="B264" s="37" t="s">
        <v>511</v>
      </c>
      <c r="C264" s="38">
        <v>2022</v>
      </c>
      <c r="D264" s="49">
        <v>0.4</v>
      </c>
      <c r="E264" s="64">
        <v>1</v>
      </c>
      <c r="F264" s="38">
        <v>15</v>
      </c>
      <c r="G264" s="52">
        <v>27.341249999999999</v>
      </c>
      <c r="H264" s="38" t="s">
        <v>512</v>
      </c>
      <c r="I264" s="40" t="s">
        <v>405</v>
      </c>
    </row>
    <row r="265" spans="1:9" ht="44.25" customHeight="1">
      <c r="A265" s="65"/>
      <c r="B265" s="37" t="s">
        <v>513</v>
      </c>
      <c r="C265" s="38">
        <v>2022</v>
      </c>
      <c r="D265" s="49">
        <v>0.4</v>
      </c>
      <c r="E265" s="64">
        <v>1</v>
      </c>
      <c r="F265" s="38">
        <v>25</v>
      </c>
      <c r="G265" s="52">
        <v>34.546320000000001</v>
      </c>
      <c r="H265" s="38" t="s">
        <v>514</v>
      </c>
      <c r="I265" s="40" t="s">
        <v>217</v>
      </c>
    </row>
    <row r="266" spans="1:9" ht="44.25" customHeight="1">
      <c r="A266" s="65"/>
      <c r="B266" s="37" t="s">
        <v>515</v>
      </c>
      <c r="C266" s="38">
        <v>2022</v>
      </c>
      <c r="D266" s="49">
        <v>0.4</v>
      </c>
      <c r="E266" s="64">
        <v>1</v>
      </c>
      <c r="F266" s="38">
        <v>15</v>
      </c>
      <c r="G266" s="52">
        <v>34.5976</v>
      </c>
      <c r="H266" s="38" t="s">
        <v>516</v>
      </c>
      <c r="I266" s="40" t="s">
        <v>411</v>
      </c>
    </row>
    <row r="267" spans="1:9" ht="44.25" customHeight="1">
      <c r="A267" s="65"/>
      <c r="B267" s="37" t="s">
        <v>517</v>
      </c>
      <c r="C267" s="38">
        <v>2022</v>
      </c>
      <c r="D267" s="49">
        <v>0.4</v>
      </c>
      <c r="E267" s="64">
        <v>1</v>
      </c>
      <c r="F267" s="38">
        <v>15</v>
      </c>
      <c r="G267" s="52">
        <v>26.814250000000001</v>
      </c>
      <c r="H267" s="38" t="s">
        <v>518</v>
      </c>
      <c r="I267" s="40" t="s">
        <v>405</v>
      </c>
    </row>
    <row r="268" spans="1:9" ht="44.25" customHeight="1">
      <c r="A268" s="65"/>
      <c r="B268" s="37" t="s">
        <v>519</v>
      </c>
      <c r="C268" s="38">
        <v>2022</v>
      </c>
      <c r="D268" s="49">
        <v>0.4</v>
      </c>
      <c r="E268" s="64">
        <v>1</v>
      </c>
      <c r="F268" s="38">
        <v>15</v>
      </c>
      <c r="G268" s="52">
        <v>34.647150000000003</v>
      </c>
      <c r="H268" s="38" t="s">
        <v>520</v>
      </c>
      <c r="I268" s="40" t="s">
        <v>419</v>
      </c>
    </row>
    <row r="269" spans="1:9" ht="44.25" customHeight="1">
      <c r="A269" s="65"/>
      <c r="B269" s="37" t="s">
        <v>521</v>
      </c>
      <c r="C269" s="38">
        <v>2022</v>
      </c>
      <c r="D269" s="49">
        <v>0.4</v>
      </c>
      <c r="E269" s="64">
        <v>1</v>
      </c>
      <c r="F269" s="38">
        <v>15</v>
      </c>
      <c r="G269" s="52">
        <v>34.595109999999998</v>
      </c>
      <c r="H269" s="38" t="s">
        <v>522</v>
      </c>
      <c r="I269" s="40" t="s">
        <v>262</v>
      </c>
    </row>
    <row r="270" spans="1:9" ht="44.25" customHeight="1">
      <c r="A270" s="65"/>
      <c r="B270" s="37" t="s">
        <v>523</v>
      </c>
      <c r="C270" s="38">
        <v>2022</v>
      </c>
      <c r="D270" s="49">
        <v>0.4</v>
      </c>
      <c r="E270" s="64">
        <v>1</v>
      </c>
      <c r="F270" s="38">
        <v>15</v>
      </c>
      <c r="G270" s="52">
        <v>34.392069999999997</v>
      </c>
      <c r="H270" s="38" t="s">
        <v>524</v>
      </c>
      <c r="I270" s="40" t="s">
        <v>213</v>
      </c>
    </row>
    <row r="271" spans="1:9" ht="44.25" customHeight="1">
      <c r="A271" s="65"/>
      <c r="B271" s="37" t="s">
        <v>525</v>
      </c>
      <c r="C271" s="38">
        <v>2022</v>
      </c>
      <c r="D271" s="49">
        <v>0.4</v>
      </c>
      <c r="E271" s="64">
        <v>1</v>
      </c>
      <c r="F271" s="38">
        <v>15</v>
      </c>
      <c r="G271" s="52">
        <v>34.011000000000003</v>
      </c>
      <c r="H271" s="38" t="s">
        <v>526</v>
      </c>
      <c r="I271" s="40" t="s">
        <v>219</v>
      </c>
    </row>
    <row r="272" spans="1:9" ht="44.25" customHeight="1">
      <c r="A272" s="65"/>
      <c r="B272" s="37" t="s">
        <v>527</v>
      </c>
      <c r="C272" s="38">
        <v>2022</v>
      </c>
      <c r="D272" s="49">
        <v>0.4</v>
      </c>
      <c r="E272" s="64">
        <v>1</v>
      </c>
      <c r="F272" s="38">
        <v>15</v>
      </c>
      <c r="G272" s="52">
        <v>34.61835</v>
      </c>
      <c r="H272" s="38" t="s">
        <v>528</v>
      </c>
      <c r="I272" s="40" t="s">
        <v>213</v>
      </c>
    </row>
    <row r="273" spans="1:9" ht="44.25" customHeight="1">
      <c r="A273" s="65"/>
      <c r="B273" s="37" t="s">
        <v>529</v>
      </c>
      <c r="C273" s="38">
        <v>2022</v>
      </c>
      <c r="D273" s="49">
        <v>0.4</v>
      </c>
      <c r="E273" s="64">
        <v>1</v>
      </c>
      <c r="F273" s="38">
        <v>15</v>
      </c>
      <c r="G273" s="52">
        <v>30.977060000000002</v>
      </c>
      <c r="H273" s="38" t="s">
        <v>530</v>
      </c>
      <c r="I273" s="40" t="s">
        <v>405</v>
      </c>
    </row>
    <row r="274" spans="1:9" ht="44.25" customHeight="1">
      <c r="A274" s="65"/>
      <c r="B274" s="37" t="s">
        <v>531</v>
      </c>
      <c r="C274" s="38">
        <v>2022</v>
      </c>
      <c r="D274" s="49">
        <v>0.4</v>
      </c>
      <c r="E274" s="64">
        <v>1</v>
      </c>
      <c r="F274" s="38">
        <v>15</v>
      </c>
      <c r="G274" s="52">
        <v>34.596400000000003</v>
      </c>
      <c r="H274" s="38" t="s">
        <v>532</v>
      </c>
      <c r="I274" s="40" t="s">
        <v>236</v>
      </c>
    </row>
    <row r="275" spans="1:9" ht="44.25" customHeight="1">
      <c r="A275" s="65"/>
      <c r="B275" s="37" t="s">
        <v>533</v>
      </c>
      <c r="C275" s="38">
        <v>2022</v>
      </c>
      <c r="D275" s="49">
        <v>0.4</v>
      </c>
      <c r="E275" s="64">
        <v>1</v>
      </c>
      <c r="F275" s="38">
        <v>15</v>
      </c>
      <c r="G275" s="52">
        <v>34.595109999999998</v>
      </c>
      <c r="H275" s="38" t="s">
        <v>534</v>
      </c>
      <c r="I275" s="40" t="s">
        <v>262</v>
      </c>
    </row>
    <row r="276" spans="1:9" ht="44.25" customHeight="1">
      <c r="A276" s="65"/>
      <c r="B276" s="37" t="s">
        <v>535</v>
      </c>
      <c r="C276" s="38">
        <v>2022</v>
      </c>
      <c r="D276" s="49">
        <v>0.4</v>
      </c>
      <c r="E276" s="64">
        <v>1</v>
      </c>
      <c r="F276" s="38">
        <v>15</v>
      </c>
      <c r="G276" s="52">
        <v>34.557310000000001</v>
      </c>
      <c r="H276" s="38" t="s">
        <v>536</v>
      </c>
      <c r="I276" s="40" t="s">
        <v>262</v>
      </c>
    </row>
    <row r="277" spans="1:9" ht="44.25" customHeight="1">
      <c r="A277" s="65"/>
      <c r="B277" s="37" t="s">
        <v>537</v>
      </c>
      <c r="C277" s="38">
        <v>2022</v>
      </c>
      <c r="D277" s="49">
        <v>0.4</v>
      </c>
      <c r="E277" s="64">
        <v>1</v>
      </c>
      <c r="F277" s="38">
        <v>15</v>
      </c>
      <c r="G277" s="52">
        <v>34.65457</v>
      </c>
      <c r="H277" s="38" t="s">
        <v>538</v>
      </c>
      <c r="I277" s="40" t="s">
        <v>408</v>
      </c>
    </row>
    <row r="278" spans="1:9" ht="44.25" customHeight="1">
      <c r="A278" s="65"/>
      <c r="B278" s="37" t="s">
        <v>539</v>
      </c>
      <c r="C278" s="38">
        <v>2022</v>
      </c>
      <c r="D278" s="49">
        <v>0.4</v>
      </c>
      <c r="E278" s="64">
        <v>1</v>
      </c>
      <c r="F278" s="38">
        <v>15</v>
      </c>
      <c r="G278" s="52">
        <v>34.65457</v>
      </c>
      <c r="H278" s="38" t="s">
        <v>540</v>
      </c>
      <c r="I278" s="40" t="s">
        <v>408</v>
      </c>
    </row>
    <row r="279" spans="1:9" ht="44.25" customHeight="1">
      <c r="A279" s="65"/>
      <c r="B279" s="37" t="s">
        <v>541</v>
      </c>
      <c r="C279" s="38">
        <v>2022</v>
      </c>
      <c r="D279" s="49">
        <v>0.4</v>
      </c>
      <c r="E279" s="64">
        <v>1</v>
      </c>
      <c r="F279" s="38">
        <v>15</v>
      </c>
      <c r="G279" s="52">
        <v>34.661190000000005</v>
      </c>
      <c r="H279" s="38" t="s">
        <v>542</v>
      </c>
      <c r="I279" s="40" t="s">
        <v>436</v>
      </c>
    </row>
    <row r="280" spans="1:9" ht="44.25" customHeight="1">
      <c r="A280" s="65"/>
      <c r="B280" s="37" t="s">
        <v>543</v>
      </c>
      <c r="C280" s="38">
        <v>2022</v>
      </c>
      <c r="D280" s="49">
        <v>0.4</v>
      </c>
      <c r="E280" s="64">
        <v>1</v>
      </c>
      <c r="F280" s="38">
        <v>15</v>
      </c>
      <c r="G280" s="52">
        <v>33.985910000000004</v>
      </c>
      <c r="H280" s="38" t="s">
        <v>544</v>
      </c>
      <c r="I280" s="40" t="s">
        <v>262</v>
      </c>
    </row>
    <row r="281" spans="1:9" ht="44.25" customHeight="1">
      <c r="A281" s="65"/>
      <c r="B281" s="37" t="s">
        <v>545</v>
      </c>
      <c r="C281" s="38">
        <v>2022</v>
      </c>
      <c r="D281" s="49">
        <v>0.4</v>
      </c>
      <c r="E281" s="64">
        <v>1</v>
      </c>
      <c r="F281" s="38">
        <v>15</v>
      </c>
      <c r="G281" s="52">
        <v>34.508389999999999</v>
      </c>
      <c r="H281" s="38" t="s">
        <v>546</v>
      </c>
      <c r="I281" s="40" t="s">
        <v>222</v>
      </c>
    </row>
    <row r="282" spans="1:9" ht="44.25" customHeight="1">
      <c r="A282" s="65"/>
      <c r="B282" s="37" t="s">
        <v>547</v>
      </c>
      <c r="C282" s="38">
        <v>2022</v>
      </c>
      <c r="D282" s="49">
        <v>0.4</v>
      </c>
      <c r="E282" s="64">
        <v>1</v>
      </c>
      <c r="F282" s="38">
        <v>15</v>
      </c>
      <c r="G282" s="52">
        <v>34.229769999999995</v>
      </c>
      <c r="H282" s="38" t="s">
        <v>548</v>
      </c>
      <c r="I282" s="40" t="s">
        <v>213</v>
      </c>
    </row>
    <row r="283" spans="1:9" ht="44.25" customHeight="1">
      <c r="A283" s="65"/>
      <c r="B283" s="37" t="s">
        <v>549</v>
      </c>
      <c r="C283" s="38">
        <v>2022</v>
      </c>
      <c r="D283" s="49">
        <v>0.4</v>
      </c>
      <c r="E283" s="64">
        <v>1</v>
      </c>
      <c r="F283" s="38">
        <v>15</v>
      </c>
      <c r="G283" s="52">
        <v>34.64884</v>
      </c>
      <c r="H283" s="38" t="s">
        <v>550</v>
      </c>
      <c r="I283" s="40" t="s">
        <v>238</v>
      </c>
    </row>
    <row r="284" spans="1:9" ht="44.25" customHeight="1">
      <c r="A284" s="65"/>
      <c r="B284" s="37" t="s">
        <v>551</v>
      </c>
      <c r="C284" s="38">
        <v>2022</v>
      </c>
      <c r="D284" s="49">
        <v>0.4</v>
      </c>
      <c r="E284" s="64">
        <v>1</v>
      </c>
      <c r="F284" s="38">
        <v>15</v>
      </c>
      <c r="G284" s="52">
        <v>34.488169999999997</v>
      </c>
      <c r="H284" s="38" t="s">
        <v>552</v>
      </c>
      <c r="I284" s="40" t="s">
        <v>213</v>
      </c>
    </row>
    <row r="285" spans="1:9" ht="44.25" customHeight="1">
      <c r="A285" s="65"/>
      <c r="B285" s="37" t="s">
        <v>553</v>
      </c>
      <c r="C285" s="38">
        <v>2022</v>
      </c>
      <c r="D285" s="49">
        <v>0.4</v>
      </c>
      <c r="E285" s="64">
        <v>1</v>
      </c>
      <c r="F285" s="38">
        <v>15</v>
      </c>
      <c r="G285" s="52">
        <v>32.65408</v>
      </c>
      <c r="H285" s="38" t="s">
        <v>554</v>
      </c>
      <c r="I285" s="40" t="s">
        <v>414</v>
      </c>
    </row>
    <row r="286" spans="1:9" ht="44.25" customHeight="1">
      <c r="A286" s="65"/>
      <c r="B286" s="37" t="s">
        <v>555</v>
      </c>
      <c r="C286" s="38">
        <v>2022</v>
      </c>
      <c r="D286" s="49">
        <v>0.4</v>
      </c>
      <c r="E286" s="64">
        <v>1</v>
      </c>
      <c r="F286" s="38">
        <v>15</v>
      </c>
      <c r="G286" s="52">
        <v>34.488199999999999</v>
      </c>
      <c r="H286" s="38" t="s">
        <v>556</v>
      </c>
      <c r="I286" s="40" t="s">
        <v>414</v>
      </c>
    </row>
    <row r="287" spans="1:9" ht="44.25" customHeight="1">
      <c r="A287" s="65"/>
      <c r="B287" s="37" t="s">
        <v>557</v>
      </c>
      <c r="C287" s="38">
        <v>2022</v>
      </c>
      <c r="D287" s="49">
        <v>0.4</v>
      </c>
      <c r="E287" s="64">
        <v>1</v>
      </c>
      <c r="F287" s="38">
        <v>15</v>
      </c>
      <c r="G287" s="52">
        <v>34.488199999999999</v>
      </c>
      <c r="H287" s="38" t="s">
        <v>558</v>
      </c>
      <c r="I287" s="40" t="s">
        <v>414</v>
      </c>
    </row>
    <row r="288" spans="1:9" ht="44.25" customHeight="1">
      <c r="A288" s="65"/>
      <c r="B288" s="37" t="s">
        <v>559</v>
      </c>
      <c r="C288" s="38">
        <v>2022</v>
      </c>
      <c r="D288" s="49">
        <v>0.4</v>
      </c>
      <c r="E288" s="64">
        <v>1</v>
      </c>
      <c r="F288" s="38">
        <v>15</v>
      </c>
      <c r="G288" s="52">
        <v>34.636429999999997</v>
      </c>
      <c r="H288" s="38" t="s">
        <v>560</v>
      </c>
      <c r="I288" s="40" t="s">
        <v>222</v>
      </c>
    </row>
    <row r="289" spans="1:9" ht="44.25" customHeight="1">
      <c r="A289" s="65"/>
      <c r="B289" s="37" t="s">
        <v>561</v>
      </c>
      <c r="C289" s="38">
        <v>2022</v>
      </c>
      <c r="D289" s="49">
        <v>0.4</v>
      </c>
      <c r="E289" s="64">
        <v>1</v>
      </c>
      <c r="F289" s="38">
        <v>15</v>
      </c>
      <c r="G289" s="52">
        <v>34.23048</v>
      </c>
      <c r="H289" s="38" t="s">
        <v>562</v>
      </c>
      <c r="I289" s="40" t="s">
        <v>236</v>
      </c>
    </row>
    <row r="290" spans="1:9" ht="44.25" customHeight="1">
      <c r="A290" s="65"/>
      <c r="B290" s="37" t="s">
        <v>563</v>
      </c>
      <c r="C290" s="38">
        <v>2022</v>
      </c>
      <c r="D290" s="49">
        <v>0.4</v>
      </c>
      <c r="E290" s="64">
        <v>1</v>
      </c>
      <c r="F290" s="38">
        <v>15</v>
      </c>
      <c r="G290" s="52">
        <v>33.835970000000003</v>
      </c>
      <c r="H290" s="38" t="s">
        <v>564</v>
      </c>
      <c r="I290" s="40" t="s">
        <v>238</v>
      </c>
    </row>
    <row r="291" spans="1:9" ht="44.25" customHeight="1">
      <c r="A291" s="65"/>
      <c r="B291" s="37" t="s">
        <v>565</v>
      </c>
      <c r="C291" s="38">
        <v>2022</v>
      </c>
      <c r="D291" s="49">
        <v>0.4</v>
      </c>
      <c r="E291" s="64">
        <v>1</v>
      </c>
      <c r="F291" s="38">
        <v>15</v>
      </c>
      <c r="G291" s="52">
        <v>34.011000000000003</v>
      </c>
      <c r="H291" s="38" t="s">
        <v>566</v>
      </c>
      <c r="I291" s="40" t="s">
        <v>219</v>
      </c>
    </row>
    <row r="292" spans="1:9" ht="44.25" customHeight="1">
      <c r="A292" s="65"/>
      <c r="B292" s="37" t="s">
        <v>567</v>
      </c>
      <c r="C292" s="38">
        <v>2022</v>
      </c>
      <c r="D292" s="49">
        <v>0.4</v>
      </c>
      <c r="E292" s="64">
        <v>1</v>
      </c>
      <c r="F292" s="38">
        <v>15</v>
      </c>
      <c r="G292" s="52">
        <v>34.656949999999995</v>
      </c>
      <c r="H292" s="38" t="s">
        <v>568</v>
      </c>
      <c r="I292" s="40" t="s">
        <v>402</v>
      </c>
    </row>
    <row r="293" spans="1:9" ht="44.25" customHeight="1">
      <c r="A293" s="65"/>
      <c r="B293" s="37" t="s">
        <v>569</v>
      </c>
      <c r="C293" s="38">
        <v>2022</v>
      </c>
      <c r="D293" s="49">
        <v>0.4</v>
      </c>
      <c r="E293" s="64">
        <v>1</v>
      </c>
      <c r="F293" s="38">
        <v>15</v>
      </c>
      <c r="G293" s="52">
        <v>34.488169999999997</v>
      </c>
      <c r="H293" s="38" t="s">
        <v>570</v>
      </c>
      <c r="I293" s="40" t="s">
        <v>213</v>
      </c>
    </row>
    <row r="294" spans="1:9" ht="44.25" customHeight="1">
      <c r="A294" s="65"/>
      <c r="B294" s="37" t="s">
        <v>571</v>
      </c>
      <c r="C294" s="38">
        <v>2022</v>
      </c>
      <c r="D294" s="49">
        <v>0.4</v>
      </c>
      <c r="E294" s="64">
        <v>1</v>
      </c>
      <c r="F294" s="38">
        <v>15</v>
      </c>
      <c r="G294" s="52">
        <v>34.488199999999999</v>
      </c>
      <c r="H294" s="38" t="s">
        <v>572</v>
      </c>
      <c r="I294" s="40" t="s">
        <v>414</v>
      </c>
    </row>
    <row r="295" spans="1:9" ht="44.25" customHeight="1">
      <c r="A295" s="65"/>
      <c r="B295" s="37" t="s">
        <v>573</v>
      </c>
      <c r="C295" s="38">
        <v>2022</v>
      </c>
      <c r="D295" s="49">
        <v>0.4</v>
      </c>
      <c r="E295" s="64">
        <v>1</v>
      </c>
      <c r="F295" s="38">
        <v>15</v>
      </c>
      <c r="G295" s="52">
        <v>34.606650000000002</v>
      </c>
      <c r="H295" s="38" t="s">
        <v>574</v>
      </c>
      <c r="I295" s="40" t="s">
        <v>575</v>
      </c>
    </row>
    <row r="296" spans="1:9" ht="44.25" customHeight="1">
      <c r="A296" s="65"/>
      <c r="B296" s="37" t="s">
        <v>576</v>
      </c>
      <c r="C296" s="38">
        <v>2022</v>
      </c>
      <c r="D296" s="49">
        <v>0.4</v>
      </c>
      <c r="E296" s="64">
        <v>1</v>
      </c>
      <c r="F296" s="38">
        <v>15</v>
      </c>
      <c r="G296" s="52">
        <v>34.649730000000005</v>
      </c>
      <c r="H296" s="38" t="s">
        <v>577</v>
      </c>
      <c r="I296" s="40" t="s">
        <v>238</v>
      </c>
    </row>
    <row r="297" spans="1:9" ht="44.25" customHeight="1">
      <c r="A297" s="65"/>
      <c r="B297" s="37" t="s">
        <v>578</v>
      </c>
      <c r="C297" s="38">
        <v>2022</v>
      </c>
      <c r="D297" s="49">
        <v>0.4</v>
      </c>
      <c r="E297" s="64">
        <v>1</v>
      </c>
      <c r="F297" s="38">
        <v>15</v>
      </c>
      <c r="G297" s="52">
        <v>34.011000000000003</v>
      </c>
      <c r="H297" s="38" t="s">
        <v>579</v>
      </c>
      <c r="I297" s="40" t="s">
        <v>219</v>
      </c>
    </row>
    <row r="298" spans="1:9" ht="44.25" customHeight="1">
      <c r="A298" s="65"/>
      <c r="B298" s="37" t="s">
        <v>580</v>
      </c>
      <c r="C298" s="38">
        <v>2022</v>
      </c>
      <c r="D298" s="49">
        <v>0.4</v>
      </c>
      <c r="E298" s="64">
        <v>1</v>
      </c>
      <c r="F298" s="38">
        <v>15</v>
      </c>
      <c r="G298" s="52">
        <v>34.656959999999998</v>
      </c>
      <c r="H298" s="38" t="s">
        <v>581</v>
      </c>
      <c r="I298" s="40" t="s">
        <v>408</v>
      </c>
    </row>
    <row r="299" spans="1:9" ht="44.25" customHeight="1">
      <c r="A299" s="65"/>
      <c r="B299" s="37" t="s">
        <v>582</v>
      </c>
      <c r="C299" s="38">
        <v>2022</v>
      </c>
      <c r="D299" s="49">
        <v>0.4</v>
      </c>
      <c r="E299" s="64">
        <v>1</v>
      </c>
      <c r="F299" s="38">
        <v>10</v>
      </c>
      <c r="G299" s="52">
        <v>34.426650000000002</v>
      </c>
      <c r="H299" s="38" t="s">
        <v>583</v>
      </c>
      <c r="I299" s="40" t="s">
        <v>222</v>
      </c>
    </row>
    <row r="300" spans="1:9" ht="44.25" customHeight="1">
      <c r="A300" s="65"/>
      <c r="B300" s="37" t="s">
        <v>584</v>
      </c>
      <c r="C300" s="38">
        <v>2022</v>
      </c>
      <c r="D300" s="49">
        <v>0.4</v>
      </c>
      <c r="E300" s="64">
        <v>1</v>
      </c>
      <c r="F300" s="38">
        <v>15</v>
      </c>
      <c r="G300" s="52">
        <v>34.596400000000003</v>
      </c>
      <c r="H300" s="38" t="s">
        <v>585</v>
      </c>
      <c r="I300" s="40" t="s">
        <v>236</v>
      </c>
    </row>
    <row r="301" spans="1:9" ht="44.25" customHeight="1">
      <c r="A301" s="65"/>
      <c r="B301" s="37" t="s">
        <v>586</v>
      </c>
      <c r="C301" s="38">
        <v>2022</v>
      </c>
      <c r="D301" s="49">
        <v>0.4</v>
      </c>
      <c r="E301" s="64">
        <v>1</v>
      </c>
      <c r="F301" s="38">
        <v>15</v>
      </c>
      <c r="G301" s="52">
        <v>34.65401</v>
      </c>
      <c r="H301" s="38" t="s">
        <v>587</v>
      </c>
      <c r="I301" s="40" t="s">
        <v>262</v>
      </c>
    </row>
    <row r="302" spans="1:9" ht="44.25" customHeight="1">
      <c r="A302" s="65"/>
      <c r="B302" s="37" t="s">
        <v>588</v>
      </c>
      <c r="C302" s="38">
        <v>2022</v>
      </c>
      <c r="D302" s="49">
        <v>0.4</v>
      </c>
      <c r="E302" s="64">
        <v>1</v>
      </c>
      <c r="F302" s="38">
        <v>15</v>
      </c>
      <c r="G302" s="52">
        <v>34.65457</v>
      </c>
      <c r="H302" s="38" t="s">
        <v>589</v>
      </c>
      <c r="I302" s="40" t="s">
        <v>408</v>
      </c>
    </row>
    <row r="303" spans="1:9" ht="44.25" customHeight="1">
      <c r="A303" s="65"/>
      <c r="B303" s="37" t="s">
        <v>590</v>
      </c>
      <c r="C303" s="38">
        <v>2022</v>
      </c>
      <c r="D303" s="49">
        <v>0.4</v>
      </c>
      <c r="E303" s="64">
        <v>1</v>
      </c>
      <c r="F303" s="38">
        <v>15</v>
      </c>
      <c r="G303" s="52">
        <v>34.651449999999997</v>
      </c>
      <c r="H303" s="38" t="s">
        <v>591</v>
      </c>
      <c r="I303" s="40" t="s">
        <v>236</v>
      </c>
    </row>
    <row r="304" spans="1:9" ht="44.25" customHeight="1">
      <c r="A304" s="65"/>
      <c r="B304" s="37" t="s">
        <v>592</v>
      </c>
      <c r="C304" s="38">
        <v>2022</v>
      </c>
      <c r="D304" s="49">
        <v>0.4</v>
      </c>
      <c r="E304" s="64">
        <v>1</v>
      </c>
      <c r="F304" s="38">
        <v>15</v>
      </c>
      <c r="G304" s="52">
        <v>30.417390000000001</v>
      </c>
      <c r="H304" s="38" t="s">
        <v>593</v>
      </c>
      <c r="I304" s="40" t="s">
        <v>222</v>
      </c>
    </row>
    <row r="305" spans="1:9" ht="44.25" customHeight="1">
      <c r="A305" s="65"/>
      <c r="B305" s="37" t="s">
        <v>594</v>
      </c>
      <c r="C305" s="38">
        <v>2022</v>
      </c>
      <c r="D305" s="49">
        <v>0.4</v>
      </c>
      <c r="E305" s="64">
        <v>1</v>
      </c>
      <c r="F305" s="38">
        <v>28</v>
      </c>
      <c r="G305" s="52">
        <v>28.25074</v>
      </c>
      <c r="H305" s="38" t="s">
        <v>595</v>
      </c>
      <c r="I305" s="40" t="s">
        <v>213</v>
      </c>
    </row>
    <row r="306" spans="1:9" ht="44.25" customHeight="1">
      <c r="A306" s="65"/>
      <c r="B306" s="37" t="s">
        <v>596</v>
      </c>
      <c r="C306" s="38">
        <v>2022</v>
      </c>
      <c r="D306" s="49">
        <v>0.4</v>
      </c>
      <c r="E306" s="64">
        <v>1</v>
      </c>
      <c r="F306" s="38">
        <v>15</v>
      </c>
      <c r="G306" s="52">
        <v>34.560550000000006</v>
      </c>
      <c r="H306" s="38" t="s">
        <v>597</v>
      </c>
      <c r="I306" s="40" t="s">
        <v>419</v>
      </c>
    </row>
    <row r="307" spans="1:9" ht="44.25" customHeight="1">
      <c r="A307" s="65"/>
      <c r="B307" s="37" t="s">
        <v>598</v>
      </c>
      <c r="C307" s="38">
        <v>2022</v>
      </c>
      <c r="D307" s="49">
        <v>0.4</v>
      </c>
      <c r="E307" s="64">
        <v>1</v>
      </c>
      <c r="F307" s="38">
        <v>15</v>
      </c>
      <c r="G307" s="52">
        <v>34.627189999999999</v>
      </c>
      <c r="H307" s="38" t="s">
        <v>599</v>
      </c>
      <c r="I307" s="40" t="s">
        <v>600</v>
      </c>
    </row>
    <row r="308" spans="1:9" ht="44.25" customHeight="1">
      <c r="A308" s="65"/>
      <c r="B308" s="37" t="s">
        <v>601</v>
      </c>
      <c r="C308" s="38">
        <v>2022</v>
      </c>
      <c r="D308" s="49">
        <v>0.4</v>
      </c>
      <c r="E308" s="64">
        <v>1</v>
      </c>
      <c r="F308" s="38">
        <v>5</v>
      </c>
      <c r="G308" s="52">
        <v>34.633290000000002</v>
      </c>
      <c r="H308" s="38" t="s">
        <v>602</v>
      </c>
      <c r="I308" s="40" t="s">
        <v>236</v>
      </c>
    </row>
    <row r="309" spans="1:9" ht="49.5" customHeight="1">
      <c r="A309" s="65"/>
      <c r="B309" s="37" t="s">
        <v>603</v>
      </c>
      <c r="C309" s="38">
        <v>2022</v>
      </c>
      <c r="D309" s="49">
        <v>0.4</v>
      </c>
      <c r="E309" s="64">
        <v>1</v>
      </c>
      <c r="F309" s="38">
        <v>15</v>
      </c>
      <c r="G309" s="52">
        <v>29.016290000000001</v>
      </c>
      <c r="H309" s="38" t="s">
        <v>604</v>
      </c>
      <c r="I309" s="40" t="s">
        <v>605</v>
      </c>
    </row>
    <row r="310" spans="1:9" ht="49.5" customHeight="1">
      <c r="A310" s="65"/>
      <c r="B310" s="37" t="s">
        <v>606</v>
      </c>
      <c r="C310" s="38">
        <v>2022</v>
      </c>
      <c r="D310" s="49">
        <v>0.4</v>
      </c>
      <c r="E310" s="64">
        <v>1</v>
      </c>
      <c r="F310" s="38">
        <v>15</v>
      </c>
      <c r="G310" s="52">
        <v>34.482140000000001</v>
      </c>
      <c r="H310" s="38" t="s">
        <v>607</v>
      </c>
      <c r="I310" s="40" t="s">
        <v>238</v>
      </c>
    </row>
    <row r="311" spans="1:9" ht="49.5" customHeight="1">
      <c r="A311" s="65"/>
      <c r="B311" s="37" t="s">
        <v>608</v>
      </c>
      <c r="C311" s="38">
        <v>2022</v>
      </c>
      <c r="D311" s="49">
        <v>0.4</v>
      </c>
      <c r="E311" s="64">
        <v>1</v>
      </c>
      <c r="F311" s="38">
        <v>15</v>
      </c>
      <c r="G311" s="52">
        <v>34.645690000000002</v>
      </c>
      <c r="H311" s="38" t="s">
        <v>609</v>
      </c>
      <c r="I311" s="40" t="s">
        <v>238</v>
      </c>
    </row>
    <row r="312" spans="1:9" ht="49.5" customHeight="1">
      <c r="A312" s="65"/>
      <c r="B312" s="37" t="s">
        <v>610</v>
      </c>
      <c r="C312" s="38">
        <v>2022</v>
      </c>
      <c r="D312" s="49">
        <v>0.4</v>
      </c>
      <c r="E312" s="64">
        <v>1</v>
      </c>
      <c r="F312" s="38">
        <v>15</v>
      </c>
      <c r="G312" s="52">
        <v>34.654580000000003</v>
      </c>
      <c r="H312" s="38" t="s">
        <v>611</v>
      </c>
      <c r="I312" s="40" t="s">
        <v>219</v>
      </c>
    </row>
    <row r="313" spans="1:9" ht="49.5" customHeight="1">
      <c r="A313" s="65"/>
      <c r="B313" s="37" t="s">
        <v>612</v>
      </c>
      <c r="C313" s="38">
        <v>2022</v>
      </c>
      <c r="D313" s="49">
        <v>0.4</v>
      </c>
      <c r="E313" s="64">
        <v>1</v>
      </c>
      <c r="F313" s="38">
        <v>15</v>
      </c>
      <c r="G313" s="52">
        <v>33.900349999999996</v>
      </c>
      <c r="H313" s="38" t="s">
        <v>613</v>
      </c>
      <c r="I313" s="40" t="s">
        <v>238</v>
      </c>
    </row>
    <row r="314" spans="1:9" ht="49.5" customHeight="1">
      <c r="A314" s="65"/>
      <c r="B314" s="37" t="s">
        <v>614</v>
      </c>
      <c r="C314" s="38">
        <v>2022</v>
      </c>
      <c r="D314" s="49">
        <v>0.4</v>
      </c>
      <c r="E314" s="64">
        <v>1</v>
      </c>
      <c r="F314" s="38">
        <v>15</v>
      </c>
      <c r="G314" s="52">
        <v>34.65457</v>
      </c>
      <c r="H314" s="38" t="s">
        <v>615</v>
      </c>
      <c r="I314" s="40" t="s">
        <v>219</v>
      </c>
    </row>
    <row r="315" spans="1:9" ht="49.5" customHeight="1">
      <c r="A315" s="65"/>
      <c r="B315" s="37" t="s">
        <v>616</v>
      </c>
      <c r="C315" s="38">
        <v>2022</v>
      </c>
      <c r="D315" s="49">
        <v>0.4</v>
      </c>
      <c r="E315" s="64">
        <v>1</v>
      </c>
      <c r="F315" s="38">
        <v>25</v>
      </c>
      <c r="G315" s="52">
        <v>27.571619999999999</v>
      </c>
      <c r="H315" s="38" t="s">
        <v>617</v>
      </c>
      <c r="I315" s="40" t="s">
        <v>618</v>
      </c>
    </row>
    <row r="316" spans="1:9" ht="49.5" customHeight="1">
      <c r="A316" s="65"/>
      <c r="B316" s="37" t="s">
        <v>619</v>
      </c>
      <c r="C316" s="38">
        <v>2022</v>
      </c>
      <c r="D316" s="49">
        <v>0.4</v>
      </c>
      <c r="E316" s="64">
        <v>1</v>
      </c>
      <c r="F316" s="38">
        <v>15</v>
      </c>
      <c r="G316" s="52">
        <v>34.654580000000003</v>
      </c>
      <c r="H316" s="38" t="s">
        <v>620</v>
      </c>
      <c r="I316" s="40" t="s">
        <v>402</v>
      </c>
    </row>
    <row r="317" spans="1:9" ht="49.5" customHeight="1">
      <c r="A317" s="65"/>
      <c r="B317" s="37" t="s">
        <v>621</v>
      </c>
      <c r="C317" s="38">
        <v>2022</v>
      </c>
      <c r="D317" s="49">
        <v>0.4</v>
      </c>
      <c r="E317" s="64">
        <v>1</v>
      </c>
      <c r="F317" s="38">
        <v>15</v>
      </c>
      <c r="G317" s="52">
        <v>34.22428</v>
      </c>
      <c r="H317" s="38" t="s">
        <v>622</v>
      </c>
      <c r="I317" s="40" t="s">
        <v>262</v>
      </c>
    </row>
    <row r="318" spans="1:9" ht="49.5" customHeight="1">
      <c r="A318" s="65"/>
      <c r="B318" s="37" t="s">
        <v>623</v>
      </c>
      <c r="C318" s="38">
        <v>2022</v>
      </c>
      <c r="D318" s="49">
        <v>0.4</v>
      </c>
      <c r="E318" s="64">
        <v>1</v>
      </c>
      <c r="F318" s="38">
        <v>15</v>
      </c>
      <c r="G318" s="52">
        <v>34.656959999999998</v>
      </c>
      <c r="H318" s="38" t="s">
        <v>624</v>
      </c>
      <c r="I318" s="40" t="s">
        <v>408</v>
      </c>
    </row>
    <row r="319" spans="1:9" ht="49.5" customHeight="1">
      <c r="A319" s="65"/>
      <c r="B319" s="37" t="s">
        <v>625</v>
      </c>
      <c r="C319" s="38">
        <v>2022</v>
      </c>
      <c r="D319" s="49">
        <v>0.4</v>
      </c>
      <c r="E319" s="64">
        <v>1</v>
      </c>
      <c r="F319" s="38">
        <v>15</v>
      </c>
      <c r="G319" s="52">
        <v>34.651350000000001</v>
      </c>
      <c r="H319" s="38" t="s">
        <v>626</v>
      </c>
      <c r="I319" s="40" t="s">
        <v>627</v>
      </c>
    </row>
    <row r="320" spans="1:9" ht="49.5" customHeight="1">
      <c r="A320" s="65"/>
      <c r="B320" s="37" t="s">
        <v>628</v>
      </c>
      <c r="C320" s="38">
        <v>2022</v>
      </c>
      <c r="D320" s="49">
        <v>0.4</v>
      </c>
      <c r="E320" s="64">
        <v>1</v>
      </c>
      <c r="F320" s="38">
        <v>40</v>
      </c>
      <c r="G320" s="52">
        <v>33.746319999999997</v>
      </c>
      <c r="H320" s="38" t="s">
        <v>629</v>
      </c>
      <c r="I320" s="40" t="s">
        <v>213</v>
      </c>
    </row>
    <row r="321" spans="1:9" ht="49.5" customHeight="1">
      <c r="A321" s="65"/>
      <c r="B321" s="37" t="s">
        <v>630</v>
      </c>
      <c r="C321" s="38">
        <v>2022</v>
      </c>
      <c r="D321" s="49">
        <v>0.4</v>
      </c>
      <c r="E321" s="64">
        <v>1</v>
      </c>
      <c r="F321" s="38">
        <v>15</v>
      </c>
      <c r="G321" s="52">
        <v>34.229410000000001</v>
      </c>
      <c r="H321" s="38" t="s">
        <v>631</v>
      </c>
      <c r="I321" s="40" t="s">
        <v>222</v>
      </c>
    </row>
    <row r="322" spans="1:9" ht="49.5" customHeight="1">
      <c r="A322" s="65"/>
      <c r="B322" s="37" t="s">
        <v>632</v>
      </c>
      <c r="C322" s="38">
        <v>2022</v>
      </c>
      <c r="D322" s="49">
        <v>0.4</v>
      </c>
      <c r="E322" s="64">
        <v>1</v>
      </c>
      <c r="F322" s="38">
        <v>15</v>
      </c>
      <c r="G322" s="52">
        <v>34.61835</v>
      </c>
      <c r="H322" s="38" t="s">
        <v>633</v>
      </c>
      <c r="I322" s="40" t="s">
        <v>213</v>
      </c>
    </row>
    <row r="323" spans="1:9" ht="49.5" customHeight="1">
      <c r="A323" s="65"/>
      <c r="B323" s="37" t="s">
        <v>634</v>
      </c>
      <c r="C323" s="38">
        <v>2022</v>
      </c>
      <c r="D323" s="49">
        <v>0.4</v>
      </c>
      <c r="E323" s="64">
        <v>1</v>
      </c>
      <c r="F323" s="38">
        <v>15</v>
      </c>
      <c r="G323" s="52">
        <v>34.606430000000003</v>
      </c>
      <c r="H323" s="38" t="s">
        <v>635</v>
      </c>
      <c r="I323" s="40" t="s">
        <v>227</v>
      </c>
    </row>
    <row r="324" spans="1:9" ht="49.5" customHeight="1">
      <c r="A324" s="65"/>
      <c r="B324" s="37" t="s">
        <v>636</v>
      </c>
      <c r="C324" s="38">
        <v>2022</v>
      </c>
      <c r="D324" s="49">
        <v>0.4</v>
      </c>
      <c r="E324" s="64">
        <v>1</v>
      </c>
      <c r="F324" s="38">
        <v>15</v>
      </c>
      <c r="G324" s="52">
        <v>31.842040000000001</v>
      </c>
      <c r="H324" s="38" t="s">
        <v>637</v>
      </c>
      <c r="I324" s="40" t="s">
        <v>249</v>
      </c>
    </row>
    <row r="325" spans="1:9" ht="49.5" customHeight="1">
      <c r="A325" s="65"/>
      <c r="B325" s="37" t="s">
        <v>638</v>
      </c>
      <c r="C325" s="38">
        <v>2022</v>
      </c>
      <c r="D325" s="49">
        <v>0.4</v>
      </c>
      <c r="E325" s="64">
        <v>1</v>
      </c>
      <c r="F325" s="38">
        <v>15</v>
      </c>
      <c r="G325" s="52">
        <v>36.777650000000001</v>
      </c>
      <c r="H325" s="38" t="s">
        <v>639</v>
      </c>
      <c r="I325" s="40" t="s">
        <v>640</v>
      </c>
    </row>
    <row r="326" spans="1:9" ht="49.5" customHeight="1">
      <c r="A326" s="65"/>
      <c r="B326" s="37" t="s">
        <v>641</v>
      </c>
      <c r="C326" s="38">
        <v>2022</v>
      </c>
      <c r="D326" s="49">
        <v>0.4</v>
      </c>
      <c r="E326" s="64">
        <v>1</v>
      </c>
      <c r="F326" s="38">
        <v>15</v>
      </c>
      <c r="G326" s="52">
        <v>34.011000000000003</v>
      </c>
      <c r="H326" s="38" t="s">
        <v>642</v>
      </c>
      <c r="I326" s="40" t="s">
        <v>219</v>
      </c>
    </row>
    <row r="327" spans="1:9" ht="49.5" customHeight="1">
      <c r="A327" s="65"/>
      <c r="B327" s="37" t="s">
        <v>643</v>
      </c>
      <c r="C327" s="38">
        <v>2022</v>
      </c>
      <c r="D327" s="49">
        <v>0.4</v>
      </c>
      <c r="E327" s="64">
        <v>1</v>
      </c>
      <c r="F327" s="38">
        <v>15</v>
      </c>
      <c r="G327" s="52">
        <v>34.60819</v>
      </c>
      <c r="H327" s="38" t="s">
        <v>644</v>
      </c>
      <c r="I327" s="40" t="s">
        <v>222</v>
      </c>
    </row>
    <row r="328" spans="1:9" ht="49.5" customHeight="1">
      <c r="A328" s="65"/>
      <c r="B328" s="37" t="s">
        <v>645</v>
      </c>
      <c r="C328" s="38">
        <v>2022</v>
      </c>
      <c r="D328" s="49">
        <v>0.4</v>
      </c>
      <c r="E328" s="64">
        <v>1</v>
      </c>
      <c r="F328" s="38">
        <v>15</v>
      </c>
      <c r="G328" s="52">
        <v>34.013589999999994</v>
      </c>
      <c r="H328" s="38" t="s">
        <v>646</v>
      </c>
      <c r="I328" s="40" t="s">
        <v>222</v>
      </c>
    </row>
    <row r="329" spans="1:9" ht="49.5" customHeight="1">
      <c r="A329" s="65"/>
      <c r="B329" s="37" t="s">
        <v>647</v>
      </c>
      <c r="C329" s="38">
        <v>2022</v>
      </c>
      <c r="D329" s="49">
        <v>0.4</v>
      </c>
      <c r="E329" s="64">
        <v>1</v>
      </c>
      <c r="F329" s="38">
        <v>15</v>
      </c>
      <c r="G329" s="52">
        <v>25.70579</v>
      </c>
      <c r="H329" s="38" t="s">
        <v>648</v>
      </c>
      <c r="I329" s="40" t="s">
        <v>236</v>
      </c>
    </row>
    <row r="330" spans="1:9" ht="49.5" customHeight="1">
      <c r="A330" s="65"/>
      <c r="B330" s="37" t="s">
        <v>649</v>
      </c>
      <c r="C330" s="38">
        <v>2022</v>
      </c>
      <c r="D330" s="49">
        <v>0.4</v>
      </c>
      <c r="E330" s="64">
        <v>1</v>
      </c>
      <c r="F330" s="38">
        <v>15</v>
      </c>
      <c r="G330" s="52">
        <v>36.805980000000005</v>
      </c>
      <c r="H330" s="38" t="s">
        <v>650</v>
      </c>
      <c r="I330" s="40" t="s">
        <v>227</v>
      </c>
    </row>
    <row r="331" spans="1:9" ht="49.5" customHeight="1">
      <c r="A331" s="65"/>
      <c r="B331" s="37" t="s">
        <v>651</v>
      </c>
      <c r="C331" s="38">
        <v>2022</v>
      </c>
      <c r="D331" s="49">
        <v>0.4</v>
      </c>
      <c r="E331" s="64">
        <v>1</v>
      </c>
      <c r="F331" s="38">
        <v>15</v>
      </c>
      <c r="G331" s="52">
        <v>34.011000000000003</v>
      </c>
      <c r="H331" s="38" t="s">
        <v>652</v>
      </c>
      <c r="I331" s="40" t="s">
        <v>219</v>
      </c>
    </row>
    <row r="332" spans="1:9" ht="49.5" customHeight="1">
      <c r="A332" s="65"/>
      <c r="B332" s="37" t="s">
        <v>653</v>
      </c>
      <c r="C332" s="38">
        <v>2022</v>
      </c>
      <c r="D332" s="49">
        <v>0.4</v>
      </c>
      <c r="E332" s="64">
        <v>1</v>
      </c>
      <c r="F332" s="38">
        <v>15</v>
      </c>
      <c r="G332" s="52">
        <v>34.426000000000002</v>
      </c>
      <c r="H332" s="38" t="s">
        <v>654</v>
      </c>
      <c r="I332" s="40" t="s">
        <v>222</v>
      </c>
    </row>
    <row r="333" spans="1:9" ht="49.5" customHeight="1">
      <c r="A333" s="65"/>
      <c r="B333" s="37" t="s">
        <v>655</v>
      </c>
      <c r="C333" s="38">
        <v>2022</v>
      </c>
      <c r="D333" s="49">
        <v>0.4</v>
      </c>
      <c r="E333" s="64">
        <v>1</v>
      </c>
      <c r="F333" s="38">
        <v>15</v>
      </c>
      <c r="G333" s="52">
        <v>31.900359999999999</v>
      </c>
      <c r="H333" s="38" t="s">
        <v>656</v>
      </c>
      <c r="I333" s="40" t="s">
        <v>249</v>
      </c>
    </row>
    <row r="334" spans="1:9" ht="49.5" customHeight="1">
      <c r="A334" s="65"/>
      <c r="B334" s="37" t="s">
        <v>657</v>
      </c>
      <c r="C334" s="38">
        <v>2022</v>
      </c>
      <c r="D334" s="49">
        <v>0.4</v>
      </c>
      <c r="E334" s="64">
        <v>1</v>
      </c>
      <c r="F334" s="38">
        <v>15</v>
      </c>
      <c r="G334" s="52">
        <v>31.700340000000001</v>
      </c>
      <c r="H334" s="38" t="s">
        <v>658</v>
      </c>
      <c r="I334" s="40" t="s">
        <v>238</v>
      </c>
    </row>
    <row r="335" spans="1:9" ht="49.5" customHeight="1">
      <c r="A335" s="65"/>
      <c r="B335" s="37" t="s">
        <v>659</v>
      </c>
      <c r="C335" s="38">
        <v>2022</v>
      </c>
      <c r="D335" s="49">
        <v>0.4</v>
      </c>
      <c r="E335" s="64">
        <v>1</v>
      </c>
      <c r="F335" s="38">
        <v>15</v>
      </c>
      <c r="G335" s="52">
        <v>37.125569999999996</v>
      </c>
      <c r="H335" s="38" t="s">
        <v>660</v>
      </c>
      <c r="I335" s="40" t="s">
        <v>328</v>
      </c>
    </row>
    <row r="336" spans="1:9" ht="49.5" customHeight="1">
      <c r="A336" s="65"/>
      <c r="B336" s="37" t="s">
        <v>661</v>
      </c>
      <c r="C336" s="38">
        <v>2022</v>
      </c>
      <c r="D336" s="49">
        <v>0.4</v>
      </c>
      <c r="E336" s="64">
        <v>1</v>
      </c>
      <c r="F336" s="38">
        <v>15</v>
      </c>
      <c r="G336" s="52">
        <v>34.471069999999997</v>
      </c>
      <c r="H336" s="38" t="s">
        <v>662</v>
      </c>
      <c r="I336" s="40" t="s">
        <v>222</v>
      </c>
    </row>
    <row r="337" spans="1:9" ht="49.5" customHeight="1">
      <c r="A337" s="65"/>
      <c r="B337" s="37" t="s">
        <v>663</v>
      </c>
      <c r="C337" s="38">
        <v>2022</v>
      </c>
      <c r="D337" s="49">
        <v>0.4</v>
      </c>
      <c r="E337" s="64">
        <v>1</v>
      </c>
      <c r="F337" s="38">
        <v>15</v>
      </c>
      <c r="G337" s="52">
        <v>31.901439999999997</v>
      </c>
      <c r="H337" s="38" t="s">
        <v>664</v>
      </c>
      <c r="I337" s="40" t="s">
        <v>249</v>
      </c>
    </row>
    <row r="338" spans="1:9" ht="49.5" customHeight="1">
      <c r="A338" s="65"/>
      <c r="B338" s="37" t="s">
        <v>665</v>
      </c>
      <c r="C338" s="38">
        <v>2022</v>
      </c>
      <c r="D338" s="49">
        <v>0.4</v>
      </c>
      <c r="E338" s="64">
        <v>1</v>
      </c>
      <c r="F338" s="38">
        <v>15</v>
      </c>
      <c r="G338" s="52">
        <v>34.651350000000001</v>
      </c>
      <c r="H338" s="38" t="s">
        <v>666</v>
      </c>
      <c r="I338" s="40" t="s">
        <v>627</v>
      </c>
    </row>
    <row r="339" spans="1:9" ht="49.5" customHeight="1">
      <c r="A339" s="65"/>
      <c r="B339" s="37" t="s">
        <v>667</v>
      </c>
      <c r="C339" s="38">
        <v>2022</v>
      </c>
      <c r="D339" s="49">
        <v>0.4</v>
      </c>
      <c r="E339" s="64">
        <v>1</v>
      </c>
      <c r="F339" s="38">
        <v>15</v>
      </c>
      <c r="G339" s="52">
        <v>34.488199999999999</v>
      </c>
      <c r="H339" s="38" t="s">
        <v>668</v>
      </c>
      <c r="I339" s="40" t="s">
        <v>414</v>
      </c>
    </row>
    <row r="340" spans="1:9" ht="49.5" customHeight="1">
      <c r="A340" s="65"/>
      <c r="B340" s="37" t="s">
        <v>669</v>
      </c>
      <c r="C340" s="38">
        <v>2022</v>
      </c>
      <c r="D340" s="49">
        <v>0.4</v>
      </c>
      <c r="E340" s="64">
        <v>1</v>
      </c>
      <c r="F340" s="38">
        <v>15</v>
      </c>
      <c r="G340" s="52">
        <v>34.61835</v>
      </c>
      <c r="H340" s="38" t="s">
        <v>670</v>
      </c>
      <c r="I340" s="40" t="s">
        <v>213</v>
      </c>
    </row>
    <row r="341" spans="1:9" ht="49.5" customHeight="1">
      <c r="A341" s="65"/>
      <c r="B341" s="37" t="s">
        <v>671</v>
      </c>
      <c r="C341" s="38">
        <v>2022</v>
      </c>
      <c r="D341" s="49">
        <v>0.4</v>
      </c>
      <c r="E341" s="64">
        <v>1</v>
      </c>
      <c r="F341" s="38">
        <v>15</v>
      </c>
      <c r="G341" s="52">
        <v>34.656959999999998</v>
      </c>
      <c r="H341" s="38" t="s">
        <v>672</v>
      </c>
      <c r="I341" s="40" t="s">
        <v>408</v>
      </c>
    </row>
    <row r="342" spans="1:9" ht="49.5" customHeight="1">
      <c r="A342" s="65"/>
      <c r="B342" s="37" t="s">
        <v>673</v>
      </c>
      <c r="C342" s="38">
        <v>2022</v>
      </c>
      <c r="D342" s="49">
        <v>0.4</v>
      </c>
      <c r="E342" s="64">
        <v>1</v>
      </c>
      <c r="F342" s="38">
        <v>15</v>
      </c>
      <c r="G342" s="52">
        <v>34.470010000000002</v>
      </c>
      <c r="H342" s="38" t="s">
        <v>674</v>
      </c>
      <c r="I342" s="40" t="s">
        <v>236</v>
      </c>
    </row>
    <row r="343" spans="1:9" ht="49.5" customHeight="1">
      <c r="A343" s="65"/>
      <c r="B343" s="37" t="s">
        <v>675</v>
      </c>
      <c r="C343" s="38">
        <v>2022</v>
      </c>
      <c r="D343" s="49">
        <v>0.4</v>
      </c>
      <c r="E343" s="64">
        <v>1</v>
      </c>
      <c r="F343" s="38">
        <v>15</v>
      </c>
      <c r="G343" s="52">
        <v>27.359770000000001</v>
      </c>
      <c r="H343" s="38" t="s">
        <v>676</v>
      </c>
      <c r="I343" s="40" t="s">
        <v>677</v>
      </c>
    </row>
    <row r="344" spans="1:9" ht="49.5" customHeight="1">
      <c r="A344" s="65"/>
      <c r="B344" s="37" t="s">
        <v>678</v>
      </c>
      <c r="C344" s="38">
        <v>2022</v>
      </c>
      <c r="D344" s="49">
        <v>0.4</v>
      </c>
      <c r="E344" s="64">
        <v>1</v>
      </c>
      <c r="F344" s="38">
        <v>15</v>
      </c>
      <c r="G344" s="52">
        <v>34.610430000000001</v>
      </c>
      <c r="H344" s="38" t="s">
        <v>679</v>
      </c>
      <c r="I344" s="40" t="s">
        <v>436</v>
      </c>
    </row>
    <row r="345" spans="1:9" ht="49.5" customHeight="1">
      <c r="A345" s="65"/>
      <c r="B345" s="37" t="s">
        <v>680</v>
      </c>
      <c r="C345" s="38">
        <v>2022</v>
      </c>
      <c r="D345" s="49">
        <v>0.4</v>
      </c>
      <c r="E345" s="64">
        <v>1</v>
      </c>
      <c r="F345" s="38">
        <v>15</v>
      </c>
      <c r="G345" s="52">
        <v>34.028449999999999</v>
      </c>
      <c r="H345" s="38" t="s">
        <v>681</v>
      </c>
      <c r="I345" s="40" t="s">
        <v>436</v>
      </c>
    </row>
    <row r="346" spans="1:9" ht="49.5" customHeight="1">
      <c r="A346" s="65"/>
      <c r="B346" s="37" t="s">
        <v>682</v>
      </c>
      <c r="C346" s="38">
        <v>2022</v>
      </c>
      <c r="D346" s="49">
        <v>0.4</v>
      </c>
      <c r="E346" s="64">
        <v>1</v>
      </c>
      <c r="F346" s="38">
        <v>25</v>
      </c>
      <c r="G346" s="52">
        <v>34.386830000000003</v>
      </c>
      <c r="H346" s="38" t="s">
        <v>683</v>
      </c>
      <c r="I346" s="40" t="s">
        <v>238</v>
      </c>
    </row>
    <row r="347" spans="1:9" ht="49.5" customHeight="1">
      <c r="A347" s="65"/>
      <c r="B347" s="37" t="s">
        <v>684</v>
      </c>
      <c r="C347" s="38">
        <v>2022</v>
      </c>
      <c r="D347" s="49">
        <v>0.4</v>
      </c>
      <c r="E347" s="64">
        <v>1</v>
      </c>
      <c r="F347" s="38">
        <v>15</v>
      </c>
      <c r="G347" s="52">
        <v>25.70579</v>
      </c>
      <c r="H347" s="38" t="s">
        <v>685</v>
      </c>
      <c r="I347" s="40" t="s">
        <v>236</v>
      </c>
    </row>
    <row r="348" spans="1:9" ht="49.5" customHeight="1">
      <c r="A348" s="65"/>
      <c r="B348" s="37" t="s">
        <v>686</v>
      </c>
      <c r="C348" s="38">
        <v>2022</v>
      </c>
      <c r="D348" s="49">
        <v>0.4</v>
      </c>
      <c r="E348" s="64">
        <v>1</v>
      </c>
      <c r="F348" s="38">
        <v>15</v>
      </c>
      <c r="G348" s="52">
        <v>33.09928</v>
      </c>
      <c r="H348" s="38" t="s">
        <v>687</v>
      </c>
      <c r="I348" s="40" t="s">
        <v>236</v>
      </c>
    </row>
    <row r="349" spans="1:9" ht="49.5" customHeight="1">
      <c r="A349" s="65"/>
      <c r="B349" s="37" t="s">
        <v>688</v>
      </c>
      <c r="C349" s="38">
        <v>2022</v>
      </c>
      <c r="D349" s="49">
        <v>0.4</v>
      </c>
      <c r="E349" s="64">
        <v>1</v>
      </c>
      <c r="F349" s="38">
        <v>15</v>
      </c>
      <c r="G349" s="52">
        <v>34.61835</v>
      </c>
      <c r="H349" s="38" t="s">
        <v>689</v>
      </c>
      <c r="I349" s="40" t="s">
        <v>213</v>
      </c>
    </row>
    <row r="350" spans="1:9" ht="51" customHeight="1">
      <c r="A350" s="65"/>
      <c r="B350" s="37" t="s">
        <v>690</v>
      </c>
      <c r="C350" s="38">
        <v>2022</v>
      </c>
      <c r="D350" s="49">
        <v>0.4</v>
      </c>
      <c r="E350" s="64">
        <v>1</v>
      </c>
      <c r="F350" s="38">
        <v>15</v>
      </c>
      <c r="G350" s="52">
        <v>34.606449999999995</v>
      </c>
      <c r="H350" s="38" t="s">
        <v>691</v>
      </c>
      <c r="I350" s="40" t="s">
        <v>227</v>
      </c>
    </row>
    <row r="351" spans="1:9" ht="51" customHeight="1">
      <c r="A351" s="41"/>
      <c r="B351" s="37" t="s">
        <v>692</v>
      </c>
      <c r="C351" s="38">
        <v>2022</v>
      </c>
      <c r="D351" s="49">
        <v>0.4</v>
      </c>
      <c r="E351" s="64">
        <v>1</v>
      </c>
      <c r="F351" s="38">
        <v>15</v>
      </c>
      <c r="G351" s="52">
        <v>34.570660000000004</v>
      </c>
      <c r="H351" s="38" t="s">
        <v>693</v>
      </c>
      <c r="I351" s="40" t="s">
        <v>262</v>
      </c>
    </row>
    <row r="352" spans="1:9" ht="51" customHeight="1">
      <c r="A352" s="41"/>
      <c r="B352" s="37" t="s">
        <v>694</v>
      </c>
      <c r="C352" s="38">
        <v>2022</v>
      </c>
      <c r="D352" s="49">
        <v>0.4</v>
      </c>
      <c r="E352" s="64">
        <v>1</v>
      </c>
      <c r="F352" s="38">
        <v>15</v>
      </c>
      <c r="G352" s="52">
        <v>34.392069999999997</v>
      </c>
      <c r="H352" s="38" t="s">
        <v>695</v>
      </c>
      <c r="I352" s="40" t="s">
        <v>213</v>
      </c>
    </row>
    <row r="353" spans="1:9" ht="51" customHeight="1">
      <c r="A353" s="41"/>
      <c r="B353" s="37" t="s">
        <v>696</v>
      </c>
      <c r="C353" s="38">
        <v>2022</v>
      </c>
      <c r="D353" s="49">
        <v>0.4</v>
      </c>
      <c r="E353" s="64">
        <v>1</v>
      </c>
      <c r="F353" s="38">
        <v>15</v>
      </c>
      <c r="G353" s="52">
        <v>34.64884</v>
      </c>
      <c r="H353" s="38" t="s">
        <v>697</v>
      </c>
      <c r="I353" s="40" t="s">
        <v>238</v>
      </c>
    </row>
    <row r="354" spans="1:9" ht="51" customHeight="1">
      <c r="A354" s="41"/>
      <c r="B354" s="37" t="s">
        <v>698</v>
      </c>
      <c r="C354" s="38">
        <v>2022</v>
      </c>
      <c r="D354" s="49">
        <v>0.4</v>
      </c>
      <c r="E354" s="64">
        <v>1</v>
      </c>
      <c r="F354" s="38">
        <v>8</v>
      </c>
      <c r="G354" s="52">
        <v>34.626010000000001</v>
      </c>
      <c r="H354" s="38" t="s">
        <v>699</v>
      </c>
      <c r="I354" s="40" t="s">
        <v>402</v>
      </c>
    </row>
    <row r="355" spans="1:9" ht="51" customHeight="1">
      <c r="A355" s="41"/>
      <c r="B355" s="37" t="s">
        <v>700</v>
      </c>
      <c r="C355" s="38">
        <v>2022</v>
      </c>
      <c r="D355" s="49">
        <v>0.4</v>
      </c>
      <c r="E355" s="64">
        <v>1</v>
      </c>
      <c r="F355" s="38">
        <v>15</v>
      </c>
      <c r="G355" s="52">
        <v>37.211510000000004</v>
      </c>
      <c r="H355" s="38" t="s">
        <v>701</v>
      </c>
      <c r="I355" s="40" t="s">
        <v>402</v>
      </c>
    </row>
    <row r="356" spans="1:9" ht="51" customHeight="1">
      <c r="A356" s="41"/>
      <c r="B356" s="37" t="s">
        <v>702</v>
      </c>
      <c r="C356" s="38">
        <v>2022</v>
      </c>
      <c r="D356" s="49">
        <v>0.4</v>
      </c>
      <c r="E356" s="64">
        <v>1</v>
      </c>
      <c r="F356" s="38">
        <v>15</v>
      </c>
      <c r="G356" s="52">
        <v>32.547179999999997</v>
      </c>
      <c r="H356" s="38" t="s">
        <v>703</v>
      </c>
      <c r="I356" s="40" t="s">
        <v>213</v>
      </c>
    </row>
    <row r="357" spans="1:9" ht="51" customHeight="1">
      <c r="A357" s="41"/>
      <c r="B357" s="37" t="s">
        <v>704</v>
      </c>
      <c r="C357" s="38">
        <v>2022</v>
      </c>
      <c r="D357" s="49">
        <v>0.4</v>
      </c>
      <c r="E357" s="64">
        <v>1</v>
      </c>
      <c r="F357" s="38">
        <v>15</v>
      </c>
      <c r="G357" s="52">
        <v>34.426000000000002</v>
      </c>
      <c r="H357" s="38" t="s">
        <v>705</v>
      </c>
      <c r="I357" s="40" t="s">
        <v>222</v>
      </c>
    </row>
    <row r="358" spans="1:9" ht="51" customHeight="1">
      <c r="A358" s="41"/>
      <c r="B358" s="37" t="s">
        <v>706</v>
      </c>
      <c r="C358" s="38">
        <v>2022</v>
      </c>
      <c r="D358" s="49">
        <v>0.4</v>
      </c>
      <c r="E358" s="64">
        <v>1</v>
      </c>
      <c r="F358" s="38">
        <v>15</v>
      </c>
      <c r="G358" s="52">
        <v>34.637730000000005</v>
      </c>
      <c r="H358" s="38" t="s">
        <v>707</v>
      </c>
      <c r="I358" s="40" t="s">
        <v>222</v>
      </c>
    </row>
    <row r="359" spans="1:9" ht="51" customHeight="1">
      <c r="A359" s="41"/>
      <c r="B359" s="37" t="s">
        <v>708</v>
      </c>
      <c r="C359" s="38">
        <v>2022</v>
      </c>
      <c r="D359" s="49">
        <v>0.4</v>
      </c>
      <c r="E359" s="64">
        <v>1</v>
      </c>
      <c r="F359" s="38">
        <v>15</v>
      </c>
      <c r="G359" s="52">
        <v>34.013589999999994</v>
      </c>
      <c r="H359" s="38" t="s">
        <v>709</v>
      </c>
      <c r="I359" s="40" t="s">
        <v>222</v>
      </c>
    </row>
    <row r="360" spans="1:9" ht="51" customHeight="1">
      <c r="A360" s="41"/>
      <c r="B360" s="37" t="s">
        <v>710</v>
      </c>
      <c r="C360" s="38">
        <v>2022</v>
      </c>
      <c r="D360" s="49">
        <v>0.4</v>
      </c>
      <c r="E360" s="64">
        <v>1</v>
      </c>
      <c r="F360" s="38">
        <v>15</v>
      </c>
      <c r="G360" s="52">
        <v>34.011000000000003</v>
      </c>
      <c r="H360" s="38" t="s">
        <v>711</v>
      </c>
      <c r="I360" s="40" t="s">
        <v>219</v>
      </c>
    </row>
    <row r="361" spans="1:9" ht="51" customHeight="1">
      <c r="A361" s="41"/>
      <c r="B361" s="37" t="s">
        <v>712</v>
      </c>
      <c r="C361" s="38">
        <v>2022</v>
      </c>
      <c r="D361" s="49">
        <v>0.4</v>
      </c>
      <c r="E361" s="64">
        <v>1</v>
      </c>
      <c r="F361" s="38">
        <v>30</v>
      </c>
      <c r="G361" s="52">
        <v>33.722290000000001</v>
      </c>
      <c r="H361" s="38" t="s">
        <v>713</v>
      </c>
      <c r="I361" s="40" t="s">
        <v>241</v>
      </c>
    </row>
    <row r="362" spans="1:9" ht="51" customHeight="1">
      <c r="A362" s="46"/>
      <c r="B362" s="37" t="s">
        <v>714</v>
      </c>
      <c r="C362" s="38">
        <v>2022</v>
      </c>
      <c r="D362" s="49">
        <v>0.4</v>
      </c>
      <c r="E362" s="64">
        <v>1</v>
      </c>
      <c r="F362" s="38">
        <v>15</v>
      </c>
      <c r="G362" s="52">
        <v>36.777650000000001</v>
      </c>
      <c r="H362" s="38" t="s">
        <v>715</v>
      </c>
      <c r="I362" s="40" t="s">
        <v>640</v>
      </c>
    </row>
    <row r="363" spans="1:9" ht="51" customHeight="1">
      <c r="A363" s="46"/>
      <c r="B363" s="37" t="s">
        <v>716</v>
      </c>
      <c r="C363" s="38">
        <v>2022</v>
      </c>
      <c r="D363" s="49">
        <v>0.4</v>
      </c>
      <c r="E363" s="64">
        <v>1</v>
      </c>
      <c r="F363" s="38">
        <v>15</v>
      </c>
      <c r="G363" s="52">
        <v>34.571440000000003</v>
      </c>
      <c r="H363" s="38" t="s">
        <v>717</v>
      </c>
      <c r="I363" s="40" t="s">
        <v>254</v>
      </c>
    </row>
    <row r="364" spans="1:9">
      <c r="A364" s="41" t="s">
        <v>203</v>
      </c>
      <c r="B364" s="24" t="s">
        <v>204</v>
      </c>
      <c r="C364" s="19"/>
      <c r="D364" s="46"/>
      <c r="E364" s="25">
        <f>SUM(E365:E367)</f>
        <v>3</v>
      </c>
      <c r="F364" s="25">
        <f t="shared" ref="F364:G364" si="39">SUM(F365:F367)</f>
        <v>150</v>
      </c>
      <c r="G364" s="51">
        <f t="shared" si="39"/>
        <v>159.43903999999998</v>
      </c>
      <c r="H364" s="32"/>
      <c r="I364" s="33"/>
    </row>
    <row r="365" spans="1:9" ht="49.5" customHeight="1">
      <c r="A365" s="65"/>
      <c r="B365" s="37" t="s">
        <v>718</v>
      </c>
      <c r="C365" s="38">
        <v>2022</v>
      </c>
      <c r="D365" s="49">
        <v>0.4</v>
      </c>
      <c r="E365" s="64">
        <v>1</v>
      </c>
      <c r="F365" s="38">
        <v>50</v>
      </c>
      <c r="G365" s="52">
        <v>33.321349999999995</v>
      </c>
      <c r="H365" s="38" t="s">
        <v>719</v>
      </c>
      <c r="I365" s="40" t="s">
        <v>280</v>
      </c>
    </row>
    <row r="366" spans="1:9" ht="51" customHeight="1">
      <c r="A366" s="46"/>
      <c r="B366" s="37" t="s">
        <v>720</v>
      </c>
      <c r="C366" s="38">
        <v>2022</v>
      </c>
      <c r="D366" s="49">
        <v>0.4</v>
      </c>
      <c r="E366" s="64">
        <v>1</v>
      </c>
      <c r="F366" s="38">
        <v>50</v>
      </c>
      <c r="G366" s="52">
        <v>92.79862</v>
      </c>
      <c r="H366" s="38" t="s">
        <v>721</v>
      </c>
      <c r="I366" s="40" t="s">
        <v>238</v>
      </c>
    </row>
    <row r="367" spans="1:9" ht="51" customHeight="1">
      <c r="A367" s="41"/>
      <c r="B367" s="37" t="s">
        <v>722</v>
      </c>
      <c r="C367" s="38">
        <v>2022</v>
      </c>
      <c r="D367" s="66">
        <v>0.4</v>
      </c>
      <c r="E367" s="64">
        <v>1</v>
      </c>
      <c r="F367" s="38">
        <v>50</v>
      </c>
      <c r="G367" s="52">
        <v>33.319069999999996</v>
      </c>
      <c r="H367" s="38" t="s">
        <v>723</v>
      </c>
      <c r="I367" s="40" t="s">
        <v>219</v>
      </c>
    </row>
    <row r="369" spans="1:9">
      <c r="D369" s="1"/>
      <c r="E369" s="1"/>
      <c r="F369" s="1"/>
      <c r="I369" s="1"/>
    </row>
    <row r="370" spans="1:9">
      <c r="D370" s="1"/>
      <c r="E370" s="1"/>
      <c r="F370" s="1"/>
      <c r="I370" s="1"/>
    </row>
    <row r="371" spans="1:9">
      <c r="D371" s="1"/>
      <c r="E371" s="1"/>
      <c r="F371" s="1"/>
      <c r="I371" s="1"/>
    </row>
    <row r="372" spans="1:9">
      <c r="A372" s="1" t="s">
        <v>724</v>
      </c>
      <c r="D372" s="1"/>
      <c r="E372" s="1"/>
      <c r="F372" s="1"/>
      <c r="I372" s="1"/>
    </row>
    <row r="373" spans="1:9">
      <c r="D373" s="1"/>
      <c r="E373" s="1"/>
      <c r="F373" s="1"/>
      <c r="I373" s="1"/>
    </row>
    <row r="374" spans="1:9">
      <c r="D374" s="1"/>
      <c r="E374" s="1"/>
      <c r="F374" s="1"/>
      <c r="I374" s="1"/>
    </row>
  </sheetData>
  <mergeCells count="2">
    <mergeCell ref="H1:I1"/>
    <mergeCell ref="A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9"/>
  <sheetViews>
    <sheetView zoomScaleNormal="100" workbookViewId="0">
      <selection activeCell="E8" sqref="E8"/>
    </sheetView>
  </sheetViews>
  <sheetFormatPr defaultColWidth="9.109375" defaultRowHeight="15.6"/>
  <cols>
    <col min="1" max="1" width="16.6640625" style="77" customWidth="1"/>
    <col min="2" max="2" width="58.44140625" style="78" customWidth="1"/>
    <col min="3" max="3" width="11.6640625" style="77" customWidth="1"/>
    <col min="4" max="4" width="13.44140625" style="79" customWidth="1"/>
    <col min="5" max="5" width="23.5546875" style="79" customWidth="1"/>
    <col min="6" max="6" width="14.6640625" style="79" customWidth="1"/>
    <col min="7" max="7" width="26.44140625" style="77" customWidth="1"/>
    <col min="8" max="8" width="37.5546875" style="77" customWidth="1"/>
    <col min="9" max="9" width="37.109375" style="131" customWidth="1"/>
    <col min="10" max="16384" width="9.109375" style="77"/>
  </cols>
  <sheetData>
    <row r="1" spans="1:9" ht="93.75" customHeight="1">
      <c r="G1" s="80"/>
      <c r="H1" s="204" t="s">
        <v>103</v>
      </c>
      <c r="I1" s="204"/>
    </row>
    <row r="2" spans="1:9" ht="48.75" customHeight="1">
      <c r="A2" s="203" t="s">
        <v>730</v>
      </c>
      <c r="B2" s="203"/>
      <c r="C2" s="203"/>
      <c r="D2" s="203"/>
      <c r="E2" s="203"/>
      <c r="F2" s="203"/>
      <c r="G2" s="203"/>
      <c r="H2" s="203"/>
      <c r="I2" s="203"/>
    </row>
    <row r="4" spans="1:9" ht="140.4">
      <c r="A4" s="81" t="s">
        <v>51</v>
      </c>
      <c r="B4" s="82" t="s">
        <v>89</v>
      </c>
      <c r="C4" s="81" t="s">
        <v>52</v>
      </c>
      <c r="D4" s="81" t="s">
        <v>53</v>
      </c>
      <c r="E4" s="81" t="s">
        <v>104</v>
      </c>
      <c r="F4" s="81" t="s">
        <v>90</v>
      </c>
      <c r="G4" s="81" t="s">
        <v>91</v>
      </c>
      <c r="H4" s="81" t="s">
        <v>105</v>
      </c>
      <c r="I4" s="81" t="s">
        <v>106</v>
      </c>
    </row>
    <row r="5" spans="1:9">
      <c r="A5" s="81"/>
      <c r="B5" s="83"/>
      <c r="C5" s="81"/>
      <c r="D5" s="81"/>
      <c r="E5" s="81"/>
      <c r="F5" s="84"/>
      <c r="G5" s="81"/>
      <c r="H5" s="84"/>
      <c r="I5" s="84"/>
    </row>
    <row r="6" spans="1:9">
      <c r="A6" s="85">
        <v>1</v>
      </c>
      <c r="B6" s="86" t="s">
        <v>54</v>
      </c>
      <c r="C6" s="85" t="s">
        <v>34</v>
      </c>
      <c r="D6" s="81" t="s">
        <v>34</v>
      </c>
      <c r="E6" s="87">
        <f>E48+E12+E56+E50+E40</f>
        <v>11.366</v>
      </c>
      <c r="F6" s="87">
        <f t="shared" ref="F6:G6" si="0">F48+F12+F56+F50+F40</f>
        <v>942</v>
      </c>
      <c r="G6" s="87">
        <f t="shared" si="0"/>
        <v>22289.55269</v>
      </c>
      <c r="H6" s="85" t="s">
        <v>34</v>
      </c>
      <c r="I6" s="88" t="s">
        <v>34</v>
      </c>
    </row>
    <row r="7" spans="1:9" ht="31.2">
      <c r="A7" s="81" t="s">
        <v>55</v>
      </c>
      <c r="B7" s="82" t="s">
        <v>56</v>
      </c>
      <c r="C7" s="81" t="s">
        <v>34</v>
      </c>
      <c r="D7" s="81" t="s">
        <v>34</v>
      </c>
      <c r="E7" s="89" t="s">
        <v>34</v>
      </c>
      <c r="F7" s="90" t="s">
        <v>34</v>
      </c>
      <c r="G7" s="89" t="s">
        <v>34</v>
      </c>
      <c r="H7" s="81" t="s">
        <v>34</v>
      </c>
      <c r="I7" s="91" t="s">
        <v>34</v>
      </c>
    </row>
    <row r="8" spans="1:9" ht="31.2">
      <c r="A8" s="81" t="s">
        <v>57</v>
      </c>
      <c r="B8" s="82" t="s">
        <v>58</v>
      </c>
      <c r="C8" s="81" t="s">
        <v>34</v>
      </c>
      <c r="D8" s="81" t="s">
        <v>34</v>
      </c>
      <c r="E8" s="89" t="s">
        <v>34</v>
      </c>
      <c r="F8" s="90" t="s">
        <v>34</v>
      </c>
      <c r="G8" s="89" t="s">
        <v>34</v>
      </c>
      <c r="H8" s="81" t="s">
        <v>34</v>
      </c>
      <c r="I8" s="91" t="s">
        <v>34</v>
      </c>
    </row>
    <row r="9" spans="1:9" ht="34.5" customHeight="1">
      <c r="A9" s="81" t="s">
        <v>59</v>
      </c>
      <c r="B9" s="82" t="s">
        <v>60</v>
      </c>
      <c r="C9" s="81" t="s">
        <v>34</v>
      </c>
      <c r="D9" s="81" t="s">
        <v>34</v>
      </c>
      <c r="E9" s="89" t="s">
        <v>34</v>
      </c>
      <c r="F9" s="90" t="s">
        <v>34</v>
      </c>
      <c r="G9" s="89" t="s">
        <v>34</v>
      </c>
      <c r="H9" s="81" t="s">
        <v>34</v>
      </c>
      <c r="I9" s="91" t="s">
        <v>34</v>
      </c>
    </row>
    <row r="10" spans="1:9" ht="109.2">
      <c r="A10" s="81" t="s">
        <v>61</v>
      </c>
      <c r="B10" s="92" t="s">
        <v>107</v>
      </c>
      <c r="C10" s="81"/>
      <c r="D10" s="81"/>
      <c r="E10" s="89"/>
      <c r="F10" s="90"/>
      <c r="G10" s="89"/>
      <c r="H10" s="93"/>
      <c r="I10" s="94"/>
    </row>
    <row r="11" spans="1:9" ht="30" customHeight="1">
      <c r="A11" s="81" t="s">
        <v>108</v>
      </c>
      <c r="B11" s="92" t="s">
        <v>109</v>
      </c>
      <c r="C11" s="81"/>
      <c r="D11" s="81"/>
      <c r="E11" s="89"/>
      <c r="F11" s="90"/>
      <c r="G11" s="89"/>
      <c r="H11" s="93"/>
      <c r="I11" s="94"/>
    </row>
    <row r="12" spans="1:9">
      <c r="A12" s="85" t="s">
        <v>174</v>
      </c>
      <c r="B12" s="86" t="s">
        <v>110</v>
      </c>
      <c r="C12" s="85"/>
      <c r="D12" s="81"/>
      <c r="E12" s="87">
        <f>SUM(E13:E39)</f>
        <v>8.5777999999999999</v>
      </c>
      <c r="F12" s="87">
        <f t="shared" ref="F12:G12" si="1">SUM(F13:F39)</f>
        <v>508</v>
      </c>
      <c r="G12" s="87">
        <f t="shared" si="1"/>
        <v>15051.65508</v>
      </c>
      <c r="H12" s="95"/>
      <c r="I12" s="96"/>
    </row>
    <row r="13" spans="1:9" ht="78.75" customHeight="1">
      <c r="A13" s="85"/>
      <c r="B13" s="97" t="s">
        <v>731</v>
      </c>
      <c r="C13" s="85">
        <v>2023</v>
      </c>
      <c r="D13" s="81">
        <v>0.4</v>
      </c>
      <c r="E13" s="89">
        <v>0.154</v>
      </c>
      <c r="F13" s="98">
        <v>6</v>
      </c>
      <c r="G13" s="89">
        <v>354.19701000000003</v>
      </c>
      <c r="H13" s="99" t="s">
        <v>732</v>
      </c>
      <c r="I13" s="97" t="s">
        <v>733</v>
      </c>
    </row>
    <row r="14" spans="1:9" ht="47.25" customHeight="1">
      <c r="A14" s="85"/>
      <c r="B14" s="97" t="s">
        <v>734</v>
      </c>
      <c r="C14" s="85">
        <v>2023</v>
      </c>
      <c r="D14" s="81">
        <v>0.4</v>
      </c>
      <c r="E14" s="89">
        <v>0.83699999999999997</v>
      </c>
      <c r="F14" s="100">
        <v>15</v>
      </c>
      <c r="G14" s="89">
        <v>1715.69</v>
      </c>
      <c r="H14" s="99" t="s">
        <v>732</v>
      </c>
      <c r="I14" s="97" t="s">
        <v>735</v>
      </c>
    </row>
    <row r="15" spans="1:9" ht="47.25" customHeight="1">
      <c r="A15" s="85"/>
      <c r="B15" s="97" t="s">
        <v>736</v>
      </c>
      <c r="C15" s="85">
        <v>2023</v>
      </c>
      <c r="D15" s="81">
        <v>0.4</v>
      </c>
      <c r="E15" s="89">
        <v>0.27</v>
      </c>
      <c r="F15" s="100">
        <v>15</v>
      </c>
      <c r="G15" s="89">
        <v>476.86090999999999</v>
      </c>
      <c r="H15" s="99" t="s">
        <v>177</v>
      </c>
      <c r="I15" s="97" t="s">
        <v>737</v>
      </c>
    </row>
    <row r="16" spans="1:9" ht="47.25" customHeight="1">
      <c r="A16" s="85"/>
      <c r="B16" s="97" t="s">
        <v>738</v>
      </c>
      <c r="C16" s="85">
        <v>2023</v>
      </c>
      <c r="D16" s="81">
        <v>0.4</v>
      </c>
      <c r="E16" s="89">
        <v>0.27400000000000002</v>
      </c>
      <c r="F16" s="100">
        <v>15</v>
      </c>
      <c r="G16" s="89">
        <v>297.03431</v>
      </c>
      <c r="H16" s="99" t="s">
        <v>732</v>
      </c>
      <c r="I16" s="97" t="s">
        <v>739</v>
      </c>
    </row>
    <row r="17" spans="1:9" ht="47.25" customHeight="1">
      <c r="A17" s="85"/>
      <c r="B17" s="97" t="s">
        <v>740</v>
      </c>
      <c r="C17" s="85">
        <v>2023</v>
      </c>
      <c r="D17" s="81">
        <v>0.4</v>
      </c>
      <c r="E17" s="89">
        <v>8.3000000000000004E-2</v>
      </c>
      <c r="F17" s="100">
        <v>50</v>
      </c>
      <c r="G17" s="89">
        <v>244.1866</v>
      </c>
      <c r="H17" s="99" t="s">
        <v>732</v>
      </c>
      <c r="I17" s="97" t="s">
        <v>741</v>
      </c>
    </row>
    <row r="18" spans="1:9" ht="47.25" customHeight="1">
      <c r="A18" s="85"/>
      <c r="B18" s="97" t="s">
        <v>742</v>
      </c>
      <c r="C18" s="85">
        <v>2023</v>
      </c>
      <c r="D18" s="81">
        <v>0.4</v>
      </c>
      <c r="E18" s="89">
        <v>0.124</v>
      </c>
      <c r="F18" s="100">
        <v>15</v>
      </c>
      <c r="G18" s="89">
        <v>157.01382999999998</v>
      </c>
      <c r="H18" s="99" t="s">
        <v>732</v>
      </c>
      <c r="I18" s="97" t="s">
        <v>743</v>
      </c>
    </row>
    <row r="19" spans="1:9" ht="47.25" customHeight="1">
      <c r="A19" s="85"/>
      <c r="B19" s="97" t="s">
        <v>744</v>
      </c>
      <c r="C19" s="85">
        <v>2023</v>
      </c>
      <c r="D19" s="81">
        <v>0.4</v>
      </c>
      <c r="E19" s="89">
        <v>0.43099999999999999</v>
      </c>
      <c r="F19" s="100">
        <v>15</v>
      </c>
      <c r="G19" s="89">
        <v>579.81299999999999</v>
      </c>
      <c r="H19" s="99" t="s">
        <v>732</v>
      </c>
      <c r="I19" s="97" t="s">
        <v>735</v>
      </c>
    </row>
    <row r="20" spans="1:9" ht="47.25" customHeight="1">
      <c r="A20" s="85"/>
      <c r="B20" s="97" t="s">
        <v>745</v>
      </c>
      <c r="C20" s="85">
        <v>2023</v>
      </c>
      <c r="D20" s="81">
        <v>0.4</v>
      </c>
      <c r="E20" s="89">
        <v>6.3799999999999996E-2</v>
      </c>
      <c r="F20" s="100">
        <v>60</v>
      </c>
      <c r="G20" s="89">
        <v>102.20041000000001</v>
      </c>
      <c r="H20" s="99" t="s">
        <v>732</v>
      </c>
      <c r="I20" s="97" t="s">
        <v>737</v>
      </c>
    </row>
    <row r="21" spans="1:9" ht="47.25" customHeight="1">
      <c r="A21" s="85"/>
      <c r="B21" s="97" t="s">
        <v>746</v>
      </c>
      <c r="C21" s="85">
        <v>2023</v>
      </c>
      <c r="D21" s="81">
        <v>0.4</v>
      </c>
      <c r="E21" s="89">
        <v>0.159</v>
      </c>
      <c r="F21" s="100">
        <v>15</v>
      </c>
      <c r="G21" s="89">
        <v>360.09854999999999</v>
      </c>
      <c r="H21" s="99" t="s">
        <v>732</v>
      </c>
      <c r="I21" s="97" t="s">
        <v>747</v>
      </c>
    </row>
    <row r="22" spans="1:9" ht="47.25" customHeight="1">
      <c r="A22" s="85"/>
      <c r="B22" s="97" t="s">
        <v>748</v>
      </c>
      <c r="C22" s="85">
        <v>2023</v>
      </c>
      <c r="D22" s="81">
        <v>0.4</v>
      </c>
      <c r="E22" s="89">
        <v>7.2999999999999995E-2</v>
      </c>
      <c r="F22" s="100">
        <v>50</v>
      </c>
      <c r="G22" s="89">
        <v>167.262</v>
      </c>
      <c r="H22" s="99" t="s">
        <v>732</v>
      </c>
      <c r="I22" s="97" t="s">
        <v>749</v>
      </c>
    </row>
    <row r="23" spans="1:9" ht="47.25" customHeight="1">
      <c r="A23" s="85"/>
      <c r="B23" s="97" t="s">
        <v>750</v>
      </c>
      <c r="C23" s="85">
        <v>2023</v>
      </c>
      <c r="D23" s="81">
        <v>0.4</v>
      </c>
      <c r="E23" s="89">
        <v>0.41499999999999998</v>
      </c>
      <c r="F23" s="100">
        <v>5</v>
      </c>
      <c r="G23" s="89">
        <v>755.30750999999998</v>
      </c>
      <c r="H23" s="99" t="s">
        <v>176</v>
      </c>
      <c r="I23" s="97" t="s">
        <v>751</v>
      </c>
    </row>
    <row r="24" spans="1:9" ht="47.25" customHeight="1">
      <c r="A24" s="85"/>
      <c r="B24" s="97" t="s">
        <v>752</v>
      </c>
      <c r="C24" s="85">
        <v>2023</v>
      </c>
      <c r="D24" s="81">
        <v>0.4</v>
      </c>
      <c r="E24" s="89">
        <v>0.28699999999999998</v>
      </c>
      <c r="F24" s="100">
        <v>15</v>
      </c>
      <c r="G24" s="89">
        <v>627.25360999999998</v>
      </c>
      <c r="H24" s="99" t="s">
        <v>732</v>
      </c>
      <c r="I24" s="97" t="s">
        <v>753</v>
      </c>
    </row>
    <row r="25" spans="1:9" ht="47.25" customHeight="1">
      <c r="A25" s="85"/>
      <c r="B25" s="97" t="s">
        <v>754</v>
      </c>
      <c r="C25" s="85">
        <v>2023</v>
      </c>
      <c r="D25" s="81">
        <v>0.4</v>
      </c>
      <c r="E25" s="89">
        <v>0.189</v>
      </c>
      <c r="F25" s="100">
        <v>15</v>
      </c>
      <c r="G25" s="89">
        <v>291.65004999999996</v>
      </c>
      <c r="H25" s="99" t="s">
        <v>732</v>
      </c>
      <c r="I25" s="97" t="s">
        <v>747</v>
      </c>
    </row>
    <row r="26" spans="1:9" ht="47.25" customHeight="1">
      <c r="A26" s="85"/>
      <c r="B26" s="97" t="s">
        <v>755</v>
      </c>
      <c r="C26" s="85">
        <v>2023</v>
      </c>
      <c r="D26" s="81">
        <v>0.4</v>
      </c>
      <c r="E26" s="89">
        <v>0.84599999999999997</v>
      </c>
      <c r="F26" s="100">
        <v>15</v>
      </c>
      <c r="G26" s="89">
        <v>1982.4154699999999</v>
      </c>
      <c r="H26" s="99" t="s">
        <v>732</v>
      </c>
      <c r="I26" s="97" t="s">
        <v>756</v>
      </c>
    </row>
    <row r="27" spans="1:9" ht="47.25" customHeight="1">
      <c r="A27" s="85"/>
      <c r="B27" s="97" t="s">
        <v>757</v>
      </c>
      <c r="C27" s="85">
        <v>2023</v>
      </c>
      <c r="D27" s="81">
        <v>0.4</v>
      </c>
      <c r="E27" s="89">
        <v>7.8E-2</v>
      </c>
      <c r="F27" s="100">
        <v>15</v>
      </c>
      <c r="G27" s="89">
        <v>220.14934</v>
      </c>
      <c r="H27" s="99" t="s">
        <v>732</v>
      </c>
      <c r="I27" s="97" t="s">
        <v>758</v>
      </c>
    </row>
    <row r="28" spans="1:9" ht="47.25" customHeight="1">
      <c r="A28" s="85"/>
      <c r="B28" s="97" t="s">
        <v>759</v>
      </c>
      <c r="C28" s="85">
        <v>2023</v>
      </c>
      <c r="D28" s="81">
        <v>0.4</v>
      </c>
      <c r="E28" s="89">
        <v>0.38</v>
      </c>
      <c r="F28" s="100">
        <v>15</v>
      </c>
      <c r="G28" s="89">
        <v>796.68458999999996</v>
      </c>
      <c r="H28" s="99" t="s">
        <v>732</v>
      </c>
      <c r="I28" s="97" t="s">
        <v>760</v>
      </c>
    </row>
    <row r="29" spans="1:9" ht="47.25" customHeight="1">
      <c r="A29" s="85"/>
      <c r="B29" s="97" t="s">
        <v>761</v>
      </c>
      <c r="C29" s="85">
        <v>2023</v>
      </c>
      <c r="D29" s="81">
        <v>0.4</v>
      </c>
      <c r="E29" s="99">
        <v>0.57899999999999996</v>
      </c>
      <c r="F29" s="100">
        <v>15</v>
      </c>
      <c r="G29" s="89">
        <v>786.60218000000009</v>
      </c>
      <c r="H29" s="99" t="s">
        <v>732</v>
      </c>
      <c r="I29" s="97" t="s">
        <v>762</v>
      </c>
    </row>
    <row r="30" spans="1:9" ht="47.25" customHeight="1">
      <c r="A30" s="85"/>
      <c r="B30" s="99" t="s">
        <v>763</v>
      </c>
      <c r="C30" s="85">
        <v>2023</v>
      </c>
      <c r="D30" s="81">
        <v>0.4</v>
      </c>
      <c r="E30" s="99">
        <v>0.755</v>
      </c>
      <c r="F30" s="100">
        <v>6</v>
      </c>
      <c r="G30" s="89">
        <v>768.59114</v>
      </c>
      <c r="H30" s="99" t="s">
        <v>732</v>
      </c>
      <c r="I30" s="97" t="s">
        <v>764</v>
      </c>
    </row>
    <row r="31" spans="1:9" ht="47.25" customHeight="1">
      <c r="A31" s="85"/>
      <c r="B31" s="99" t="s">
        <v>765</v>
      </c>
      <c r="C31" s="85">
        <v>2023</v>
      </c>
      <c r="D31" s="81">
        <v>0.4</v>
      </c>
      <c r="E31" s="99">
        <v>0.224</v>
      </c>
      <c r="F31" s="100">
        <v>50</v>
      </c>
      <c r="G31" s="89">
        <v>217.39446000000001</v>
      </c>
      <c r="H31" s="99" t="s">
        <v>732</v>
      </c>
      <c r="I31" s="97" t="s">
        <v>766</v>
      </c>
    </row>
    <row r="32" spans="1:9" ht="47.25" customHeight="1">
      <c r="A32" s="85"/>
      <c r="B32" s="99" t="s">
        <v>767</v>
      </c>
      <c r="C32" s="85">
        <v>2023</v>
      </c>
      <c r="D32" s="81">
        <v>0.4</v>
      </c>
      <c r="E32" s="99">
        <v>0.77300000000000002</v>
      </c>
      <c r="F32" s="100">
        <v>15</v>
      </c>
      <c r="G32" s="89">
        <v>818.63417000000004</v>
      </c>
      <c r="H32" s="99" t="s">
        <v>732</v>
      </c>
      <c r="I32" s="97" t="s">
        <v>764</v>
      </c>
    </row>
    <row r="33" spans="1:9" ht="47.25" customHeight="1">
      <c r="A33" s="85"/>
      <c r="B33" s="99" t="s">
        <v>768</v>
      </c>
      <c r="C33" s="85">
        <v>2023</v>
      </c>
      <c r="D33" s="81">
        <v>0.4</v>
      </c>
      <c r="E33" s="99">
        <v>2.1999999999999999E-2</v>
      </c>
      <c r="F33" s="100">
        <v>15</v>
      </c>
      <c r="G33" s="89">
        <v>129.84804</v>
      </c>
      <c r="H33" s="99" t="s">
        <v>732</v>
      </c>
      <c r="I33" s="97" t="s">
        <v>769</v>
      </c>
    </row>
    <row r="34" spans="1:9" ht="47.25" customHeight="1">
      <c r="A34" s="85"/>
      <c r="B34" s="99" t="s">
        <v>770</v>
      </c>
      <c r="C34" s="85">
        <v>2023</v>
      </c>
      <c r="D34" s="81">
        <v>0.4</v>
      </c>
      <c r="E34" s="99">
        <v>0.112</v>
      </c>
      <c r="F34" s="100">
        <v>15</v>
      </c>
      <c r="G34" s="89">
        <v>374.66113000000001</v>
      </c>
      <c r="H34" s="99" t="s">
        <v>732</v>
      </c>
      <c r="I34" s="97" t="s">
        <v>771</v>
      </c>
    </row>
    <row r="35" spans="1:9" ht="47.25" customHeight="1">
      <c r="A35" s="85"/>
      <c r="B35" s="99" t="s">
        <v>772</v>
      </c>
      <c r="C35" s="85">
        <v>2023</v>
      </c>
      <c r="D35" s="81">
        <v>0.4</v>
      </c>
      <c r="E35" s="99">
        <v>0.19</v>
      </c>
      <c r="F35" s="100">
        <v>15</v>
      </c>
      <c r="G35" s="89">
        <f>831.09203+45.50922</f>
        <v>876.60125000000005</v>
      </c>
      <c r="H35" s="99" t="s">
        <v>732</v>
      </c>
      <c r="I35" s="97" t="s">
        <v>773</v>
      </c>
    </row>
    <row r="36" spans="1:9" ht="47.25" customHeight="1">
      <c r="A36" s="85"/>
      <c r="B36" s="99" t="s">
        <v>774</v>
      </c>
      <c r="C36" s="85">
        <v>2023</v>
      </c>
      <c r="D36" s="81">
        <v>0.4</v>
      </c>
      <c r="E36" s="99">
        <v>7.3999999999999996E-2</v>
      </c>
      <c r="F36" s="100">
        <v>6</v>
      </c>
      <c r="G36" s="89">
        <v>218.32141999999999</v>
      </c>
      <c r="H36" s="99" t="s">
        <v>177</v>
      </c>
      <c r="I36" s="97" t="s">
        <v>775</v>
      </c>
    </row>
    <row r="37" spans="1:9" ht="47.25" customHeight="1">
      <c r="A37" s="85"/>
      <c r="B37" s="99" t="s">
        <v>776</v>
      </c>
      <c r="C37" s="85">
        <v>2023</v>
      </c>
      <c r="D37" s="81">
        <v>0.4</v>
      </c>
      <c r="E37" s="99">
        <v>0.215</v>
      </c>
      <c r="F37" s="100">
        <v>5</v>
      </c>
      <c r="G37" s="89">
        <v>341.90631999999999</v>
      </c>
      <c r="H37" s="99" t="s">
        <v>777</v>
      </c>
      <c r="I37" s="97" t="s">
        <v>778</v>
      </c>
    </row>
    <row r="38" spans="1:9" ht="47.25" customHeight="1">
      <c r="A38" s="85"/>
      <c r="B38" s="99" t="s">
        <v>779</v>
      </c>
      <c r="C38" s="85">
        <v>2023</v>
      </c>
      <c r="D38" s="81">
        <v>0.4</v>
      </c>
      <c r="E38" s="99">
        <v>0.254</v>
      </c>
      <c r="F38" s="100">
        <v>15</v>
      </c>
      <c r="G38" s="89">
        <v>649.15200000000004</v>
      </c>
      <c r="H38" s="99" t="s">
        <v>780</v>
      </c>
      <c r="I38" s="97" t="s">
        <v>781</v>
      </c>
    </row>
    <row r="39" spans="1:9" ht="47.25" customHeight="1">
      <c r="A39" s="85"/>
      <c r="B39" s="99" t="s">
        <v>782</v>
      </c>
      <c r="C39" s="85">
        <v>2023</v>
      </c>
      <c r="D39" s="81">
        <v>0.4</v>
      </c>
      <c r="E39" s="99">
        <v>0.71599999999999997</v>
      </c>
      <c r="F39" s="100">
        <v>15</v>
      </c>
      <c r="G39" s="89">
        <v>742.12577999999996</v>
      </c>
      <c r="H39" s="99" t="s">
        <v>732</v>
      </c>
      <c r="I39" s="97" t="s">
        <v>764</v>
      </c>
    </row>
    <row r="40" spans="1:9">
      <c r="A40" s="85" t="s">
        <v>174</v>
      </c>
      <c r="B40" s="86" t="s">
        <v>110</v>
      </c>
      <c r="C40" s="85"/>
      <c r="D40" s="81"/>
      <c r="E40" s="87">
        <f>SUM(E41:E47)</f>
        <v>0.51759999999999995</v>
      </c>
      <c r="F40" s="87">
        <f t="shared" ref="F40:G40" si="2">SUM(F41:F47)</f>
        <v>176</v>
      </c>
      <c r="G40" s="87">
        <f t="shared" si="2"/>
        <v>2671.2709600000003</v>
      </c>
      <c r="H40" s="95"/>
      <c r="I40" s="96"/>
    </row>
    <row r="41" spans="1:9" ht="47.25" customHeight="1">
      <c r="A41" s="85"/>
      <c r="B41" s="99" t="s">
        <v>783</v>
      </c>
      <c r="C41" s="85">
        <v>2023</v>
      </c>
      <c r="D41" s="81">
        <v>6</v>
      </c>
      <c r="E41" s="99">
        <v>1.2999999999999999E-2</v>
      </c>
      <c r="F41" s="100">
        <v>15</v>
      </c>
      <c r="G41" s="89">
        <v>211.91925000000001</v>
      </c>
      <c r="H41" s="99" t="s">
        <v>784</v>
      </c>
      <c r="I41" s="97" t="s">
        <v>764</v>
      </c>
    </row>
    <row r="42" spans="1:9" ht="47.25" customHeight="1">
      <c r="A42" s="85"/>
      <c r="B42" s="97" t="s">
        <v>785</v>
      </c>
      <c r="C42" s="85">
        <v>2023</v>
      </c>
      <c r="D42" s="81">
        <v>6</v>
      </c>
      <c r="E42" s="89">
        <v>0.28899999999999998</v>
      </c>
      <c r="F42" s="100">
        <v>15</v>
      </c>
      <c r="G42" s="89">
        <v>1104.4151000000002</v>
      </c>
      <c r="H42" s="99" t="s">
        <v>784</v>
      </c>
      <c r="I42" s="97" t="s">
        <v>758</v>
      </c>
    </row>
    <row r="43" spans="1:9" ht="47.25" customHeight="1">
      <c r="A43" s="85"/>
      <c r="B43" s="99" t="s">
        <v>786</v>
      </c>
      <c r="C43" s="85">
        <v>2023</v>
      </c>
      <c r="D43" s="81">
        <v>6</v>
      </c>
      <c r="E43" s="99">
        <v>4.4999999999999998E-2</v>
      </c>
      <c r="F43" s="100">
        <v>15</v>
      </c>
      <c r="G43" s="89">
        <v>161.41816</v>
      </c>
      <c r="H43" s="99" t="s">
        <v>784</v>
      </c>
      <c r="I43" s="97" t="s">
        <v>787</v>
      </c>
    </row>
    <row r="44" spans="1:9" ht="47.25" customHeight="1">
      <c r="A44" s="85"/>
      <c r="B44" s="99" t="s">
        <v>788</v>
      </c>
      <c r="C44" s="85">
        <v>2023</v>
      </c>
      <c r="D44" s="81">
        <v>6</v>
      </c>
      <c r="E44" s="99">
        <v>5.0000000000000001E-3</v>
      </c>
      <c r="F44" s="100">
        <v>95</v>
      </c>
      <c r="G44" s="89">
        <v>191.6328</v>
      </c>
      <c r="H44" s="99" t="s">
        <v>784</v>
      </c>
      <c r="I44" s="97" t="s">
        <v>789</v>
      </c>
    </row>
    <row r="45" spans="1:9" ht="47.25" customHeight="1">
      <c r="A45" s="85"/>
      <c r="B45" s="99" t="s">
        <v>790</v>
      </c>
      <c r="C45" s="85">
        <v>2023</v>
      </c>
      <c r="D45" s="81">
        <v>6</v>
      </c>
      <c r="E45" s="99">
        <v>1.2999999999999999E-2</v>
      </c>
      <c r="F45" s="100">
        <v>15</v>
      </c>
      <c r="G45" s="89">
        <v>179.29237000000001</v>
      </c>
      <c r="H45" s="99" t="s">
        <v>784</v>
      </c>
      <c r="I45" s="97" t="s">
        <v>769</v>
      </c>
    </row>
    <row r="46" spans="1:9" ht="47.25" customHeight="1">
      <c r="A46" s="85"/>
      <c r="B46" s="99" t="s">
        <v>791</v>
      </c>
      <c r="C46" s="85">
        <v>2023</v>
      </c>
      <c r="D46" s="81">
        <v>6</v>
      </c>
      <c r="E46" s="99">
        <v>6.6E-3</v>
      </c>
      <c r="F46" s="100">
        <v>15</v>
      </c>
      <c r="G46" s="89">
        <v>162.55591999999999</v>
      </c>
      <c r="H46" s="99" t="s">
        <v>784</v>
      </c>
      <c r="I46" s="97" t="s">
        <v>773</v>
      </c>
    </row>
    <row r="47" spans="1:9" ht="47.25" customHeight="1">
      <c r="A47" s="85"/>
      <c r="B47" s="99" t="s">
        <v>792</v>
      </c>
      <c r="C47" s="85">
        <v>2023</v>
      </c>
      <c r="D47" s="81">
        <v>6</v>
      </c>
      <c r="E47" s="99">
        <v>0.14599999999999999</v>
      </c>
      <c r="F47" s="100">
        <v>6</v>
      </c>
      <c r="G47" s="89">
        <v>660.03736000000004</v>
      </c>
      <c r="H47" s="99" t="s">
        <v>784</v>
      </c>
      <c r="I47" s="97" t="s">
        <v>775</v>
      </c>
    </row>
    <row r="48" spans="1:9">
      <c r="A48" s="85" t="s">
        <v>793</v>
      </c>
      <c r="B48" s="86" t="s">
        <v>794</v>
      </c>
      <c r="C48" s="85"/>
      <c r="D48" s="81"/>
      <c r="E48" s="87">
        <f>E49</f>
        <v>0.24560000000000001</v>
      </c>
      <c r="F48" s="101" t="str">
        <f t="shared" ref="F48:G48" si="3">F49</f>
        <v>68</v>
      </c>
      <c r="G48" s="87">
        <f t="shared" si="3"/>
        <v>521.52960999999993</v>
      </c>
      <c r="H48" s="95"/>
      <c r="I48" s="96"/>
    </row>
    <row r="49" spans="1:9" ht="47.25" customHeight="1">
      <c r="A49" s="85"/>
      <c r="B49" s="97" t="s">
        <v>795</v>
      </c>
      <c r="C49" s="85">
        <v>2023</v>
      </c>
      <c r="D49" s="81">
        <v>0.4</v>
      </c>
      <c r="E49" s="89">
        <v>0.24560000000000001</v>
      </c>
      <c r="F49" s="102" t="s">
        <v>796</v>
      </c>
      <c r="G49" s="89">
        <v>521.52960999999993</v>
      </c>
      <c r="H49" s="99" t="s">
        <v>797</v>
      </c>
      <c r="I49" s="97" t="s">
        <v>737</v>
      </c>
    </row>
    <row r="50" spans="1:9">
      <c r="A50" s="85" t="s">
        <v>178</v>
      </c>
      <c r="B50" s="86" t="s">
        <v>179</v>
      </c>
      <c r="C50" s="85"/>
      <c r="D50" s="81"/>
      <c r="E50" s="87">
        <f>SUM(E51:E55)</f>
        <v>1.7989999999999999</v>
      </c>
      <c r="F50" s="101">
        <f t="shared" ref="F50:G50" si="4">SUM(F51:F55)</f>
        <v>110</v>
      </c>
      <c r="G50" s="87">
        <f t="shared" si="4"/>
        <v>3645.2178299999996</v>
      </c>
      <c r="H50" s="95"/>
      <c r="I50" s="96"/>
    </row>
    <row r="51" spans="1:9" ht="47.25" customHeight="1">
      <c r="A51" s="85"/>
      <c r="B51" s="97" t="s">
        <v>798</v>
      </c>
      <c r="C51" s="85">
        <v>2023</v>
      </c>
      <c r="D51" s="81">
        <v>0.4</v>
      </c>
      <c r="E51" s="89">
        <v>0.05</v>
      </c>
      <c r="F51" s="102">
        <v>15</v>
      </c>
      <c r="G51" s="89">
        <v>181.57896</v>
      </c>
      <c r="H51" s="99" t="s">
        <v>799</v>
      </c>
      <c r="I51" s="97" t="s">
        <v>800</v>
      </c>
    </row>
    <row r="52" spans="1:9" ht="47.25" customHeight="1">
      <c r="A52" s="85"/>
      <c r="B52" s="97" t="s">
        <v>801</v>
      </c>
      <c r="C52" s="85">
        <v>2023</v>
      </c>
      <c r="D52" s="81">
        <v>0.4</v>
      </c>
      <c r="E52" s="89">
        <v>0.35</v>
      </c>
      <c r="F52" s="102">
        <v>15</v>
      </c>
      <c r="G52" s="89">
        <v>557.70799999999997</v>
      </c>
      <c r="H52" s="99" t="s">
        <v>799</v>
      </c>
      <c r="I52" s="97" t="s">
        <v>802</v>
      </c>
    </row>
    <row r="53" spans="1:9" ht="47.25" customHeight="1">
      <c r="A53" s="85"/>
      <c r="B53" s="97" t="s">
        <v>803</v>
      </c>
      <c r="C53" s="85">
        <v>2023</v>
      </c>
      <c r="D53" s="81">
        <v>0.4</v>
      </c>
      <c r="E53" s="99">
        <v>0.41499999999999998</v>
      </c>
      <c r="F53" s="102">
        <v>15</v>
      </c>
      <c r="G53" s="89">
        <v>908.61968000000002</v>
      </c>
      <c r="H53" s="99" t="s">
        <v>799</v>
      </c>
      <c r="I53" s="99" t="s">
        <v>804</v>
      </c>
    </row>
    <row r="54" spans="1:9" ht="47.25" customHeight="1">
      <c r="A54" s="85"/>
      <c r="B54" s="97" t="s">
        <v>805</v>
      </c>
      <c r="C54" s="85">
        <v>2023</v>
      </c>
      <c r="D54" s="81">
        <v>0.4</v>
      </c>
      <c r="E54" s="99">
        <v>0.28199999999999997</v>
      </c>
      <c r="F54" s="102">
        <v>50</v>
      </c>
      <c r="G54" s="89">
        <v>567.21909000000005</v>
      </c>
      <c r="H54" s="99" t="s">
        <v>799</v>
      </c>
      <c r="I54" s="99" t="s">
        <v>806</v>
      </c>
    </row>
    <row r="55" spans="1:9" ht="47.25" customHeight="1">
      <c r="A55" s="85"/>
      <c r="B55" s="97" t="s">
        <v>807</v>
      </c>
      <c r="C55" s="85">
        <v>2023</v>
      </c>
      <c r="D55" s="81">
        <v>0.4</v>
      </c>
      <c r="E55" s="99">
        <v>0.70199999999999996</v>
      </c>
      <c r="F55" s="102">
        <v>15</v>
      </c>
      <c r="G55" s="89">
        <v>1430.0921000000001</v>
      </c>
      <c r="H55" s="99" t="s">
        <v>799</v>
      </c>
      <c r="I55" s="99" t="s">
        <v>808</v>
      </c>
    </row>
    <row r="56" spans="1:9">
      <c r="A56" s="85" t="s">
        <v>809</v>
      </c>
      <c r="B56" s="86" t="s">
        <v>810</v>
      </c>
      <c r="C56" s="85"/>
      <c r="D56" s="81"/>
      <c r="E56" s="87">
        <f>E57</f>
        <v>0.22600000000000001</v>
      </c>
      <c r="F56" s="101" t="str">
        <f t="shared" ref="F56:G56" si="5">F57</f>
        <v>80</v>
      </c>
      <c r="G56" s="87">
        <f t="shared" si="5"/>
        <v>399.87921</v>
      </c>
      <c r="H56" s="95"/>
      <c r="I56" s="96"/>
    </row>
    <row r="57" spans="1:9" ht="47.25" customHeight="1">
      <c r="A57" s="85"/>
      <c r="B57" s="97" t="s">
        <v>811</v>
      </c>
      <c r="C57" s="85">
        <v>2023</v>
      </c>
      <c r="D57" s="81">
        <v>0.4</v>
      </c>
      <c r="E57" s="89">
        <v>0.22600000000000001</v>
      </c>
      <c r="F57" s="102" t="s">
        <v>812</v>
      </c>
      <c r="G57" s="89">
        <v>399.87921</v>
      </c>
      <c r="H57" s="99" t="s">
        <v>813</v>
      </c>
      <c r="I57" s="97" t="s">
        <v>814</v>
      </c>
    </row>
    <row r="58" spans="1:9">
      <c r="A58" s="85">
        <v>2</v>
      </c>
      <c r="B58" s="86" t="s">
        <v>62</v>
      </c>
      <c r="C58" s="85" t="s">
        <v>34</v>
      </c>
      <c r="D58" s="81" t="s">
        <v>34</v>
      </c>
      <c r="E58" s="87">
        <f>E122+E120+E189+E191+E64+E67+E151+E69+E153+E125+E133+E194+E197+E80+E161+E98+E177+E136+E200+E142+E205+E108+E183+E112+E187+E146+E209+E128+E144+E148+E207+E211</f>
        <v>13.867699999999997</v>
      </c>
      <c r="F58" s="87">
        <f t="shared" ref="F58:G58" si="6">F122+F120+F189+F191+F64+F67+F151+F69+F153+F125+F133+F194+F197+F80+F161+F98+F177+F136+F200+F142+F205+F108+F183+F112+F187+F146+F209+F128+F144+F148+F207+F211</f>
        <v>20068.71</v>
      </c>
      <c r="G58" s="87">
        <f t="shared" si="6"/>
        <v>134103.70337</v>
      </c>
      <c r="H58" s="103" t="s">
        <v>34</v>
      </c>
      <c r="I58" s="88" t="s">
        <v>34</v>
      </c>
    </row>
    <row r="59" spans="1:9" ht="62.4">
      <c r="A59" s="81" t="s">
        <v>63</v>
      </c>
      <c r="B59" s="82" t="s">
        <v>180</v>
      </c>
      <c r="C59" s="81" t="s">
        <v>34</v>
      </c>
      <c r="D59" s="81" t="s">
        <v>34</v>
      </c>
      <c r="E59" s="89" t="s">
        <v>34</v>
      </c>
      <c r="F59" s="102" t="s">
        <v>34</v>
      </c>
      <c r="G59" s="89" t="s">
        <v>34</v>
      </c>
      <c r="H59" s="103" t="s">
        <v>34</v>
      </c>
      <c r="I59" s="91" t="s">
        <v>34</v>
      </c>
    </row>
    <row r="60" spans="1:9">
      <c r="A60" s="81" t="s">
        <v>64</v>
      </c>
      <c r="B60" s="82" t="s">
        <v>65</v>
      </c>
      <c r="C60" s="81" t="s">
        <v>34</v>
      </c>
      <c r="D60" s="81" t="s">
        <v>34</v>
      </c>
      <c r="E60" s="89" t="s">
        <v>34</v>
      </c>
      <c r="F60" s="102" t="s">
        <v>34</v>
      </c>
      <c r="G60" s="89" t="s">
        <v>34</v>
      </c>
      <c r="H60" s="103" t="s">
        <v>34</v>
      </c>
      <c r="I60" s="91" t="s">
        <v>34</v>
      </c>
    </row>
    <row r="61" spans="1:9" ht="31.2">
      <c r="A61" s="81" t="s">
        <v>66</v>
      </c>
      <c r="B61" s="82" t="s">
        <v>67</v>
      </c>
      <c r="C61" s="81" t="s">
        <v>34</v>
      </c>
      <c r="D61" s="81" t="s">
        <v>34</v>
      </c>
      <c r="E61" s="89" t="s">
        <v>34</v>
      </c>
      <c r="F61" s="102" t="s">
        <v>34</v>
      </c>
      <c r="G61" s="89" t="s">
        <v>34</v>
      </c>
      <c r="H61" s="103" t="s">
        <v>34</v>
      </c>
      <c r="I61" s="91" t="s">
        <v>34</v>
      </c>
    </row>
    <row r="62" spans="1:9" ht="147" customHeight="1">
      <c r="A62" s="81" t="s">
        <v>68</v>
      </c>
      <c r="B62" s="92" t="s">
        <v>115</v>
      </c>
      <c r="C62" s="81"/>
      <c r="D62" s="81"/>
      <c r="E62" s="89"/>
      <c r="F62" s="102"/>
      <c r="G62" s="89"/>
      <c r="H62" s="103"/>
      <c r="I62" s="94"/>
    </row>
    <row r="63" spans="1:9" ht="71.25" customHeight="1">
      <c r="A63" s="81" t="s">
        <v>116</v>
      </c>
      <c r="B63" s="92" t="s">
        <v>117</v>
      </c>
      <c r="C63" s="81"/>
      <c r="D63" s="81"/>
      <c r="E63" s="89"/>
      <c r="F63" s="102"/>
      <c r="G63" s="89"/>
      <c r="H63" s="103"/>
      <c r="I63" s="94"/>
    </row>
    <row r="64" spans="1:9">
      <c r="A64" s="85" t="s">
        <v>118</v>
      </c>
      <c r="B64" s="86" t="s">
        <v>119</v>
      </c>
      <c r="C64" s="85"/>
      <c r="D64" s="81"/>
      <c r="E64" s="87">
        <f>SUM(E65:E66)</f>
        <v>0.10780000000000001</v>
      </c>
      <c r="F64" s="101">
        <f t="shared" ref="F64:G64" si="7">SUM(F65:F66)</f>
        <v>60</v>
      </c>
      <c r="G64" s="87">
        <f t="shared" si="7"/>
        <v>617.7251399999999</v>
      </c>
      <c r="H64" s="95"/>
      <c r="I64" s="96"/>
    </row>
    <row r="65" spans="1:9" ht="46.8">
      <c r="A65" s="85"/>
      <c r="B65" s="99" t="s">
        <v>815</v>
      </c>
      <c r="C65" s="81">
        <v>2023</v>
      </c>
      <c r="D65" s="81">
        <v>0.4</v>
      </c>
      <c r="E65" s="89">
        <v>4.1300000000000003E-2</v>
      </c>
      <c r="F65" s="102">
        <v>30</v>
      </c>
      <c r="G65" s="89">
        <v>90.174139999999994</v>
      </c>
      <c r="H65" s="99" t="s">
        <v>816</v>
      </c>
      <c r="I65" s="104" t="s">
        <v>817</v>
      </c>
    </row>
    <row r="66" spans="1:9" s="105" customFormat="1" ht="62.4">
      <c r="A66" s="85"/>
      <c r="B66" s="99" t="s">
        <v>818</v>
      </c>
      <c r="C66" s="81">
        <v>2023</v>
      </c>
      <c r="D66" s="81">
        <v>0.4</v>
      </c>
      <c r="E66" s="89">
        <v>6.6500000000000004E-2</v>
      </c>
      <c r="F66" s="102">
        <v>30</v>
      </c>
      <c r="G66" s="89">
        <f>327.551+200</f>
        <v>527.55099999999993</v>
      </c>
      <c r="H66" s="99" t="s">
        <v>819</v>
      </c>
      <c r="I66" s="99" t="s">
        <v>820</v>
      </c>
    </row>
    <row r="67" spans="1:9">
      <c r="A67" s="85" t="s">
        <v>122</v>
      </c>
      <c r="B67" s="86" t="s">
        <v>123</v>
      </c>
      <c r="C67" s="85"/>
      <c r="D67" s="81"/>
      <c r="E67" s="87">
        <f>E68</f>
        <v>7.5999999999999998E-2</v>
      </c>
      <c r="F67" s="101">
        <f t="shared" ref="F67:G67" si="8">F68</f>
        <v>23.89</v>
      </c>
      <c r="G67" s="87">
        <f t="shared" si="8"/>
        <v>370.41899999999998</v>
      </c>
      <c r="H67" s="95"/>
      <c r="I67" s="96"/>
    </row>
    <row r="68" spans="1:9" s="105" customFormat="1" ht="93.6">
      <c r="A68" s="85"/>
      <c r="B68" s="99" t="s">
        <v>821</v>
      </c>
      <c r="C68" s="81">
        <v>2023</v>
      </c>
      <c r="D68" s="81">
        <v>0.4</v>
      </c>
      <c r="E68" s="89">
        <v>7.5999999999999998E-2</v>
      </c>
      <c r="F68" s="102">
        <v>23.89</v>
      </c>
      <c r="G68" s="89">
        <v>370.41899999999998</v>
      </c>
      <c r="H68" s="99" t="s">
        <v>822</v>
      </c>
      <c r="I68" s="99" t="s">
        <v>771</v>
      </c>
    </row>
    <row r="69" spans="1:9">
      <c r="A69" s="85" t="s">
        <v>124</v>
      </c>
      <c r="B69" s="86" t="s">
        <v>823</v>
      </c>
      <c r="C69" s="85"/>
      <c r="D69" s="81"/>
      <c r="E69" s="87">
        <f>SUM(E70:E79)</f>
        <v>0.95660000000000012</v>
      </c>
      <c r="F69" s="101">
        <f t="shared" ref="F69:G69" si="9">SUM(F70:F79)</f>
        <v>896.8</v>
      </c>
      <c r="G69" s="87">
        <f t="shared" si="9"/>
        <v>3472.7738399999998</v>
      </c>
      <c r="H69" s="95"/>
      <c r="I69" s="96"/>
    </row>
    <row r="70" spans="1:9" s="105" customFormat="1" ht="46.8">
      <c r="A70" s="85"/>
      <c r="B70" s="99" t="s">
        <v>824</v>
      </c>
      <c r="C70" s="81">
        <v>2023</v>
      </c>
      <c r="D70" s="81">
        <v>0.4</v>
      </c>
      <c r="E70" s="89">
        <v>0.05</v>
      </c>
      <c r="F70" s="102">
        <v>80</v>
      </c>
      <c r="G70" s="89">
        <v>198.35101000000003</v>
      </c>
      <c r="H70" s="99" t="s">
        <v>825</v>
      </c>
      <c r="I70" s="104" t="s">
        <v>826</v>
      </c>
    </row>
    <row r="71" spans="1:9" s="105" customFormat="1" ht="46.8">
      <c r="A71" s="85"/>
      <c r="B71" s="99" t="s">
        <v>827</v>
      </c>
      <c r="C71" s="81">
        <v>2023</v>
      </c>
      <c r="D71" s="81">
        <v>0.4</v>
      </c>
      <c r="E71" s="89">
        <v>9.8000000000000004E-2</v>
      </c>
      <c r="F71" s="102">
        <v>15</v>
      </c>
      <c r="G71" s="89">
        <v>250.06076999999999</v>
      </c>
      <c r="H71" s="99" t="s">
        <v>828</v>
      </c>
      <c r="I71" s="104" t="s">
        <v>760</v>
      </c>
    </row>
    <row r="72" spans="1:9" s="105" customFormat="1" ht="46.8">
      <c r="A72" s="85"/>
      <c r="B72" s="99" t="s">
        <v>829</v>
      </c>
      <c r="C72" s="81">
        <v>2023</v>
      </c>
      <c r="D72" s="81">
        <v>0.4</v>
      </c>
      <c r="E72" s="89">
        <v>5.1999999999999998E-2</v>
      </c>
      <c r="F72" s="102">
        <v>80</v>
      </c>
      <c r="G72" s="89">
        <v>202.82423</v>
      </c>
      <c r="H72" s="99" t="s">
        <v>830</v>
      </c>
      <c r="I72" s="104" t="s">
        <v>747</v>
      </c>
    </row>
    <row r="73" spans="1:9" s="105" customFormat="1" ht="62.4">
      <c r="A73" s="85"/>
      <c r="B73" s="99" t="s">
        <v>831</v>
      </c>
      <c r="C73" s="81">
        <v>2023</v>
      </c>
      <c r="D73" s="81">
        <v>0.4</v>
      </c>
      <c r="E73" s="89">
        <v>1.9300000000000001E-2</v>
      </c>
      <c r="F73" s="102">
        <v>15</v>
      </c>
      <c r="G73" s="89">
        <f>1024.71302-903.03</f>
        <v>121.68301999999994</v>
      </c>
      <c r="H73" s="99" t="s">
        <v>832</v>
      </c>
      <c r="I73" s="104" t="s">
        <v>833</v>
      </c>
    </row>
    <row r="74" spans="1:9" s="105" customFormat="1" ht="62.4">
      <c r="A74" s="85"/>
      <c r="B74" s="99" t="s">
        <v>834</v>
      </c>
      <c r="C74" s="81">
        <v>2023</v>
      </c>
      <c r="D74" s="81">
        <v>0.4</v>
      </c>
      <c r="E74" s="89">
        <v>1.0999999999999999E-2</v>
      </c>
      <c r="F74" s="102">
        <v>355</v>
      </c>
      <c r="G74" s="89">
        <v>28.17295</v>
      </c>
      <c r="H74" s="99" t="s">
        <v>835</v>
      </c>
      <c r="I74" s="99" t="s">
        <v>836</v>
      </c>
    </row>
    <row r="75" spans="1:9" s="105" customFormat="1" ht="62.4">
      <c r="A75" s="85"/>
      <c r="B75" s="99" t="s">
        <v>837</v>
      </c>
      <c r="C75" s="81">
        <v>2023</v>
      </c>
      <c r="D75" s="81">
        <v>0.4</v>
      </c>
      <c r="E75" s="89">
        <v>0.108</v>
      </c>
      <c r="F75" s="102">
        <v>75</v>
      </c>
      <c r="G75" s="89">
        <v>396.58762999999988</v>
      </c>
      <c r="H75" s="99" t="s">
        <v>838</v>
      </c>
      <c r="I75" s="99" t="s">
        <v>839</v>
      </c>
    </row>
    <row r="76" spans="1:9" s="105" customFormat="1" ht="46.8">
      <c r="A76" s="85"/>
      <c r="B76" s="99" t="s">
        <v>840</v>
      </c>
      <c r="C76" s="81">
        <v>2023</v>
      </c>
      <c r="D76" s="81">
        <v>0.4</v>
      </c>
      <c r="E76" s="89">
        <v>0.10630000000000001</v>
      </c>
      <c r="F76" s="102">
        <v>65</v>
      </c>
      <c r="G76" s="89">
        <v>385.59960000000001</v>
      </c>
      <c r="H76" s="99" t="s">
        <v>841</v>
      </c>
      <c r="I76" s="99" t="s">
        <v>842</v>
      </c>
    </row>
    <row r="77" spans="1:9" s="105" customFormat="1" ht="46.8">
      <c r="A77" s="85"/>
      <c r="B77" s="99" t="s">
        <v>843</v>
      </c>
      <c r="C77" s="81">
        <v>2023</v>
      </c>
      <c r="D77" s="81">
        <v>0.4</v>
      </c>
      <c r="E77" s="89">
        <v>0.129</v>
      </c>
      <c r="F77" s="102">
        <v>80</v>
      </c>
      <c r="G77" s="89">
        <v>396.83129999999983</v>
      </c>
      <c r="H77" s="99" t="s">
        <v>844</v>
      </c>
      <c r="I77" s="104" t="s">
        <v>842</v>
      </c>
    </row>
    <row r="78" spans="1:9" s="105" customFormat="1" ht="46.8">
      <c r="A78" s="85"/>
      <c r="B78" s="99" t="s">
        <v>845</v>
      </c>
      <c r="C78" s="81">
        <v>2023</v>
      </c>
      <c r="D78" s="81">
        <v>0.4</v>
      </c>
      <c r="E78" s="89">
        <v>0.317</v>
      </c>
      <c r="F78" s="102">
        <v>50</v>
      </c>
      <c r="G78" s="89">
        <v>1069.42301</v>
      </c>
      <c r="H78" s="99" t="s">
        <v>846</v>
      </c>
      <c r="I78" s="104" t="s">
        <v>847</v>
      </c>
    </row>
    <row r="79" spans="1:9" s="105" customFormat="1" ht="46.8">
      <c r="A79" s="85"/>
      <c r="B79" s="99" t="s">
        <v>848</v>
      </c>
      <c r="C79" s="81">
        <v>2023</v>
      </c>
      <c r="D79" s="81">
        <v>0.4</v>
      </c>
      <c r="E79" s="89">
        <v>6.6000000000000003E-2</v>
      </c>
      <c r="F79" s="102">
        <v>81.8</v>
      </c>
      <c r="G79" s="89">
        <v>423.24032</v>
      </c>
      <c r="H79" s="99" t="s">
        <v>849</v>
      </c>
      <c r="I79" s="104" t="s">
        <v>850</v>
      </c>
    </row>
    <row r="80" spans="1:9">
      <c r="A80" s="85" t="s">
        <v>130</v>
      </c>
      <c r="B80" s="86" t="s">
        <v>851</v>
      </c>
      <c r="C80" s="85"/>
      <c r="D80" s="81"/>
      <c r="E80" s="87">
        <f>SUM(E81:E97)</f>
        <v>0.95610000000000006</v>
      </c>
      <c r="F80" s="101">
        <f t="shared" ref="F80:G80" si="10">SUM(F81:F97)</f>
        <v>2310</v>
      </c>
      <c r="G80" s="87">
        <f t="shared" si="10"/>
        <v>4317.4669399999993</v>
      </c>
      <c r="H80" s="95"/>
      <c r="I80" s="96"/>
    </row>
    <row r="81" spans="1:9" ht="62.4">
      <c r="B81" s="99" t="s">
        <v>852</v>
      </c>
      <c r="C81" s="81">
        <v>2023</v>
      </c>
      <c r="D81" s="81">
        <v>0.4</v>
      </c>
      <c r="E81" s="89">
        <v>2.2499999999999999E-2</v>
      </c>
      <c r="F81" s="102">
        <v>90</v>
      </c>
      <c r="G81" s="89">
        <f>385.952-244.26</f>
        <v>141.69200000000001</v>
      </c>
      <c r="H81" s="99" t="s">
        <v>853</v>
      </c>
      <c r="I81" s="99" t="s">
        <v>854</v>
      </c>
    </row>
    <row r="82" spans="1:9" ht="46.8">
      <c r="B82" s="99" t="s">
        <v>855</v>
      </c>
      <c r="C82" s="81">
        <v>2023</v>
      </c>
      <c r="D82" s="81">
        <v>0.4</v>
      </c>
      <c r="E82" s="89">
        <v>1.4999999999999999E-2</v>
      </c>
      <c r="F82" s="102">
        <v>135</v>
      </c>
      <c r="G82" s="89">
        <v>67.242999999999938</v>
      </c>
      <c r="H82" s="99" t="s">
        <v>856</v>
      </c>
      <c r="I82" s="99" t="s">
        <v>814</v>
      </c>
    </row>
    <row r="83" spans="1:9" ht="46.8">
      <c r="B83" s="99" t="s">
        <v>857</v>
      </c>
      <c r="C83" s="81">
        <v>2023</v>
      </c>
      <c r="D83" s="81">
        <v>0.4</v>
      </c>
      <c r="E83" s="89">
        <v>2.7E-2</v>
      </c>
      <c r="F83" s="102">
        <v>120</v>
      </c>
      <c r="G83" s="89">
        <f>2396.241-2225.971</f>
        <v>170.26999999999998</v>
      </c>
      <c r="H83" s="99" t="s">
        <v>858</v>
      </c>
      <c r="I83" s="99" t="s">
        <v>817</v>
      </c>
    </row>
    <row r="84" spans="1:9" ht="46.8">
      <c r="B84" s="99" t="s">
        <v>859</v>
      </c>
      <c r="C84" s="81">
        <v>2023</v>
      </c>
      <c r="D84" s="81">
        <v>0.4</v>
      </c>
      <c r="E84" s="89">
        <v>5.45E-2</v>
      </c>
      <c r="F84" s="102">
        <v>150</v>
      </c>
      <c r="G84" s="89">
        <v>380.66172000000006</v>
      </c>
      <c r="H84" s="99" t="s">
        <v>860</v>
      </c>
      <c r="I84" s="99" t="s">
        <v>861</v>
      </c>
    </row>
    <row r="85" spans="1:9" ht="62.4">
      <c r="B85" s="99" t="s">
        <v>862</v>
      </c>
      <c r="C85" s="81">
        <v>2023</v>
      </c>
      <c r="D85" s="81">
        <v>0.4</v>
      </c>
      <c r="E85" s="89">
        <v>1.9E-2</v>
      </c>
      <c r="F85" s="102">
        <v>80</v>
      </c>
      <c r="G85" s="89">
        <f>1587.11008-1514.276</f>
        <v>72.834079999999858</v>
      </c>
      <c r="H85" s="99" t="s">
        <v>863</v>
      </c>
      <c r="I85" s="99" t="s">
        <v>814</v>
      </c>
    </row>
    <row r="86" spans="1:9" ht="62.4">
      <c r="B86" s="99" t="s">
        <v>864</v>
      </c>
      <c r="C86" s="81">
        <v>2023</v>
      </c>
      <c r="D86" s="81">
        <v>0.4</v>
      </c>
      <c r="E86" s="89">
        <v>2.3800000000000002E-2</v>
      </c>
      <c r="F86" s="102">
        <v>150</v>
      </c>
      <c r="G86" s="89">
        <f>1703.29-1383.98-163.254</f>
        <v>156.05599999999995</v>
      </c>
      <c r="H86" s="99" t="s">
        <v>865</v>
      </c>
      <c r="I86" s="99" t="s">
        <v>866</v>
      </c>
    </row>
    <row r="87" spans="1:9" ht="46.8">
      <c r="B87" s="99" t="s">
        <v>867</v>
      </c>
      <c r="C87" s="81">
        <v>2023</v>
      </c>
      <c r="D87" s="81">
        <v>0.4</v>
      </c>
      <c r="E87" s="89">
        <v>1.6E-2</v>
      </c>
      <c r="F87" s="102">
        <v>150</v>
      </c>
      <c r="G87" s="89">
        <f>236.66689-137.045-30</f>
        <v>69.621890000000008</v>
      </c>
      <c r="H87" s="99" t="s">
        <v>868</v>
      </c>
      <c r="I87" s="99" t="s">
        <v>741</v>
      </c>
    </row>
    <row r="88" spans="1:9" ht="62.4">
      <c r="B88" s="99" t="s">
        <v>869</v>
      </c>
      <c r="C88" s="81">
        <v>2023</v>
      </c>
      <c r="D88" s="81">
        <v>0.4</v>
      </c>
      <c r="E88" s="89">
        <v>8.1000000000000003E-2</v>
      </c>
      <c r="F88" s="102">
        <v>150</v>
      </c>
      <c r="G88" s="89">
        <v>303.91521999999998</v>
      </c>
      <c r="H88" s="99" t="s">
        <v>870</v>
      </c>
      <c r="I88" s="99" t="s">
        <v>804</v>
      </c>
    </row>
    <row r="89" spans="1:9" ht="46.8">
      <c r="B89" s="99" t="s">
        <v>871</v>
      </c>
      <c r="C89" s="81">
        <v>2023</v>
      </c>
      <c r="D89" s="81">
        <v>0.4</v>
      </c>
      <c r="E89" s="89">
        <v>7.2999999999999995E-2</v>
      </c>
      <c r="F89" s="102">
        <v>120</v>
      </c>
      <c r="G89" s="89">
        <v>337.27341999999999</v>
      </c>
      <c r="H89" s="99" t="s">
        <v>872</v>
      </c>
      <c r="I89" s="99" t="s">
        <v>873</v>
      </c>
    </row>
    <row r="90" spans="1:9" ht="46.8">
      <c r="B90" s="99" t="s">
        <v>874</v>
      </c>
      <c r="C90" s="81">
        <v>2023</v>
      </c>
      <c r="D90" s="81">
        <v>0.4</v>
      </c>
      <c r="E90" s="89">
        <v>1.6E-2</v>
      </c>
      <c r="F90" s="102">
        <v>150</v>
      </c>
      <c r="G90" s="89">
        <v>76.067520000000059</v>
      </c>
      <c r="H90" s="99" t="s">
        <v>875</v>
      </c>
      <c r="I90" s="99" t="s">
        <v>876</v>
      </c>
    </row>
    <row r="91" spans="1:9" ht="46.8">
      <c r="B91" s="99" t="s">
        <v>877</v>
      </c>
      <c r="C91" s="81">
        <v>2023</v>
      </c>
      <c r="D91" s="81">
        <v>0.4</v>
      </c>
      <c r="E91" s="89">
        <v>0.15609999999999999</v>
      </c>
      <c r="F91" s="102">
        <v>140</v>
      </c>
      <c r="G91" s="89">
        <v>577.45244999999977</v>
      </c>
      <c r="H91" s="99" t="s">
        <v>878</v>
      </c>
      <c r="I91" s="99" t="s">
        <v>766</v>
      </c>
    </row>
    <row r="92" spans="1:9" ht="62.4">
      <c r="B92" s="99" t="s">
        <v>879</v>
      </c>
      <c r="C92" s="81">
        <v>2023</v>
      </c>
      <c r="D92" s="81">
        <v>0.4</v>
      </c>
      <c r="E92" s="89">
        <v>7.5499999999999998E-2</v>
      </c>
      <c r="F92" s="102">
        <v>150</v>
      </c>
      <c r="G92" s="89">
        <v>349.57376000000011</v>
      </c>
      <c r="H92" s="99" t="s">
        <v>880</v>
      </c>
      <c r="I92" s="99" t="s">
        <v>881</v>
      </c>
    </row>
    <row r="93" spans="1:9" ht="84" customHeight="1">
      <c r="A93" s="85"/>
      <c r="B93" s="99" t="s">
        <v>882</v>
      </c>
      <c r="C93" s="81">
        <v>2023</v>
      </c>
      <c r="D93" s="81">
        <v>0.4</v>
      </c>
      <c r="E93" s="89">
        <v>1.1599999999999999E-2</v>
      </c>
      <c r="F93" s="102">
        <v>210</v>
      </c>
      <c r="G93" s="89">
        <v>41.190269999999998</v>
      </c>
      <c r="H93" s="99" t="s">
        <v>883</v>
      </c>
      <c r="I93" s="99" t="s">
        <v>884</v>
      </c>
    </row>
    <row r="94" spans="1:9" ht="84" customHeight="1">
      <c r="A94" s="85"/>
      <c r="B94" s="99" t="s">
        <v>885</v>
      </c>
      <c r="C94" s="81">
        <v>2023</v>
      </c>
      <c r="D94" s="81">
        <v>0.4</v>
      </c>
      <c r="E94" s="89">
        <v>0.12859999999999999</v>
      </c>
      <c r="F94" s="102">
        <v>210</v>
      </c>
      <c r="G94" s="89">
        <v>408.3936799999999</v>
      </c>
      <c r="H94" s="99" t="s">
        <v>886</v>
      </c>
      <c r="I94" s="99" t="s">
        <v>884</v>
      </c>
    </row>
    <row r="95" spans="1:9" ht="46.8">
      <c r="B95" s="99" t="s">
        <v>887</v>
      </c>
      <c r="C95" s="81">
        <v>2023</v>
      </c>
      <c r="D95" s="81">
        <v>0.4</v>
      </c>
      <c r="E95" s="89">
        <v>3.5999999999999997E-2</v>
      </c>
      <c r="F95" s="102">
        <v>140</v>
      </c>
      <c r="G95" s="89">
        <v>199.73607000000015</v>
      </c>
      <c r="H95" s="99" t="s">
        <v>888</v>
      </c>
      <c r="I95" s="99" t="s">
        <v>889</v>
      </c>
    </row>
    <row r="96" spans="1:9" ht="62.4">
      <c r="B96" s="99" t="s">
        <v>890</v>
      </c>
      <c r="C96" s="81">
        <v>2023</v>
      </c>
      <c r="D96" s="81">
        <v>0.4</v>
      </c>
      <c r="E96" s="89">
        <v>3.15E-2</v>
      </c>
      <c r="F96" s="102">
        <v>15</v>
      </c>
      <c r="G96" s="89">
        <f>135.40002+30</f>
        <v>165.40002000000001</v>
      </c>
      <c r="H96" s="99" t="s">
        <v>891</v>
      </c>
      <c r="I96" s="99" t="s">
        <v>764</v>
      </c>
    </row>
    <row r="97" spans="1:9" ht="46.8">
      <c r="B97" s="99" t="s">
        <v>892</v>
      </c>
      <c r="C97" s="81">
        <v>2023</v>
      </c>
      <c r="D97" s="81">
        <v>0.4</v>
      </c>
      <c r="E97" s="89">
        <v>0.16900000000000001</v>
      </c>
      <c r="F97" s="102">
        <v>150</v>
      </c>
      <c r="G97" s="89">
        <v>800.08583999999996</v>
      </c>
      <c r="H97" s="99" t="s">
        <v>893</v>
      </c>
      <c r="I97" s="99" t="s">
        <v>894</v>
      </c>
    </row>
    <row r="98" spans="1:9">
      <c r="A98" s="85" t="s">
        <v>132</v>
      </c>
      <c r="B98" s="86" t="s">
        <v>133</v>
      </c>
      <c r="C98" s="85"/>
      <c r="D98" s="81"/>
      <c r="E98" s="87">
        <f>SUM(E99:E107)</f>
        <v>0.58529999999999993</v>
      </c>
      <c r="F98" s="101">
        <f t="shared" ref="F98:G98" si="11">SUM(F99:F107)</f>
        <v>2451.11</v>
      </c>
      <c r="G98" s="87">
        <f t="shared" si="11"/>
        <v>3445.7200400000002</v>
      </c>
      <c r="H98" s="95"/>
      <c r="I98" s="96"/>
    </row>
    <row r="99" spans="1:9" ht="46.8">
      <c r="B99" s="99" t="s">
        <v>895</v>
      </c>
      <c r="C99" s="81">
        <v>2023</v>
      </c>
      <c r="D99" s="81">
        <v>0.4</v>
      </c>
      <c r="E99" s="89">
        <v>1.4E-2</v>
      </c>
      <c r="F99" s="102">
        <v>100</v>
      </c>
      <c r="G99" s="89">
        <v>129.86572000000001</v>
      </c>
      <c r="H99" s="99" t="s">
        <v>896</v>
      </c>
      <c r="I99" s="99" t="s">
        <v>897</v>
      </c>
    </row>
    <row r="100" spans="1:9" ht="46.8">
      <c r="B100" s="99" t="s">
        <v>898</v>
      </c>
      <c r="C100" s="81">
        <v>2023</v>
      </c>
      <c r="D100" s="81">
        <v>0.4</v>
      </c>
      <c r="E100" s="89">
        <v>1.6E-2</v>
      </c>
      <c r="F100" s="102">
        <v>122</v>
      </c>
      <c r="G100" s="89">
        <v>71.327219999999997</v>
      </c>
      <c r="H100" s="99" t="s">
        <v>899</v>
      </c>
      <c r="I100" s="99" t="s">
        <v>900</v>
      </c>
    </row>
    <row r="101" spans="1:9" ht="46.8">
      <c r="B101" s="99" t="s">
        <v>901</v>
      </c>
      <c r="C101" s="81">
        <v>2023</v>
      </c>
      <c r="D101" s="81">
        <v>0.4</v>
      </c>
      <c r="E101" s="89">
        <v>3.9399999999999998E-2</v>
      </c>
      <c r="F101" s="102">
        <v>107</v>
      </c>
      <c r="G101" s="89">
        <v>153.94784999999999</v>
      </c>
      <c r="H101" s="99" t="s">
        <v>902</v>
      </c>
      <c r="I101" s="99" t="s">
        <v>900</v>
      </c>
    </row>
    <row r="102" spans="1:9" ht="62.4">
      <c r="B102" s="99" t="s">
        <v>903</v>
      </c>
      <c r="C102" s="81">
        <v>2023</v>
      </c>
      <c r="D102" s="81">
        <v>0.4</v>
      </c>
      <c r="E102" s="89">
        <v>6.8500000000000005E-2</v>
      </c>
      <c r="F102" s="102">
        <v>209.11</v>
      </c>
      <c r="G102" s="89">
        <v>417.85</v>
      </c>
      <c r="H102" s="99" t="s">
        <v>904</v>
      </c>
      <c r="I102" s="99" t="s">
        <v>905</v>
      </c>
    </row>
    <row r="103" spans="1:9" ht="62.4">
      <c r="B103" s="99" t="s">
        <v>906</v>
      </c>
      <c r="C103" s="81">
        <v>2023</v>
      </c>
      <c r="D103" s="81">
        <v>0.4</v>
      </c>
      <c r="E103" s="89">
        <v>8.4400000000000003E-2</v>
      </c>
      <c r="F103" s="102">
        <v>636</v>
      </c>
      <c r="G103" s="89">
        <v>384.42599000000001</v>
      </c>
      <c r="H103" s="99" t="s">
        <v>907</v>
      </c>
      <c r="I103" s="99" t="s">
        <v>908</v>
      </c>
    </row>
    <row r="104" spans="1:9" ht="62.4">
      <c r="B104" s="99" t="s">
        <v>909</v>
      </c>
      <c r="C104" s="81">
        <v>2023</v>
      </c>
      <c r="D104" s="81">
        <v>0.4</v>
      </c>
      <c r="E104" s="89">
        <v>8.2400000000000001E-2</v>
      </c>
      <c r="F104" s="102">
        <v>636</v>
      </c>
      <c r="G104" s="89">
        <v>381.46168999999998</v>
      </c>
      <c r="H104" s="99" t="s">
        <v>910</v>
      </c>
      <c r="I104" s="99" t="s">
        <v>908</v>
      </c>
    </row>
    <row r="105" spans="1:9" ht="46.8">
      <c r="B105" s="99" t="s">
        <v>911</v>
      </c>
      <c r="C105" s="81">
        <v>2023</v>
      </c>
      <c r="D105" s="81">
        <v>0.4</v>
      </c>
      <c r="E105" s="89">
        <v>6.6199999999999995E-2</v>
      </c>
      <c r="F105" s="102">
        <v>330</v>
      </c>
      <c r="G105" s="89">
        <v>290.39262999999994</v>
      </c>
      <c r="H105" s="99" t="s">
        <v>912</v>
      </c>
      <c r="I105" s="99" t="s">
        <v>913</v>
      </c>
    </row>
    <row r="106" spans="1:9" ht="62.4">
      <c r="B106" s="99" t="s">
        <v>914</v>
      </c>
      <c r="C106" s="81">
        <v>2023</v>
      </c>
      <c r="D106" s="81">
        <v>0.4</v>
      </c>
      <c r="E106" s="89">
        <v>0.11940000000000001</v>
      </c>
      <c r="F106" s="102">
        <v>150</v>
      </c>
      <c r="G106" s="89">
        <v>861.88850999999977</v>
      </c>
      <c r="H106" s="99" t="s">
        <v>915</v>
      </c>
      <c r="I106" s="99" t="s">
        <v>916</v>
      </c>
    </row>
    <row r="107" spans="1:9" ht="46.8">
      <c r="B107" s="99" t="s">
        <v>917</v>
      </c>
      <c r="C107" s="81">
        <v>2023</v>
      </c>
      <c r="D107" s="81">
        <v>0.4</v>
      </c>
      <c r="E107" s="89">
        <v>9.5000000000000001E-2</v>
      </c>
      <c r="F107" s="102">
        <v>161</v>
      </c>
      <c r="G107" s="89">
        <v>754.56043000000045</v>
      </c>
      <c r="H107" s="99" t="s">
        <v>918</v>
      </c>
      <c r="I107" s="99" t="s">
        <v>919</v>
      </c>
    </row>
    <row r="108" spans="1:9">
      <c r="A108" s="85" t="s">
        <v>137</v>
      </c>
      <c r="B108" s="86" t="s">
        <v>920</v>
      </c>
      <c r="C108" s="85"/>
      <c r="D108" s="81"/>
      <c r="E108" s="87">
        <f>SUM(E109:E111)</f>
        <v>0.37759999999999994</v>
      </c>
      <c r="F108" s="101">
        <f t="shared" ref="F108:G108" si="12">SUM(F109:F111)</f>
        <v>450</v>
      </c>
      <c r="G108" s="87">
        <f t="shared" si="12"/>
        <v>1946.7136000000005</v>
      </c>
      <c r="H108" s="95"/>
      <c r="I108" s="96"/>
    </row>
    <row r="109" spans="1:9" ht="62.4">
      <c r="A109" s="85"/>
      <c r="B109" s="99" t="s">
        <v>921</v>
      </c>
      <c r="C109" s="81">
        <v>2023</v>
      </c>
      <c r="D109" s="81">
        <v>0.4</v>
      </c>
      <c r="E109" s="89">
        <v>0.16009999999999999</v>
      </c>
      <c r="F109" s="102">
        <v>150</v>
      </c>
      <c r="G109" s="89">
        <v>744.71067000000039</v>
      </c>
      <c r="H109" s="99" t="s">
        <v>922</v>
      </c>
      <c r="I109" s="104" t="s">
        <v>923</v>
      </c>
    </row>
    <row r="110" spans="1:9" ht="46.8">
      <c r="A110" s="85"/>
      <c r="B110" s="99" t="s">
        <v>924</v>
      </c>
      <c r="C110" s="81">
        <v>2023</v>
      </c>
      <c r="D110" s="81">
        <v>0.4</v>
      </c>
      <c r="E110" s="89">
        <v>0.1215</v>
      </c>
      <c r="F110" s="102">
        <v>150</v>
      </c>
      <c r="G110" s="89">
        <v>439.11932999999999</v>
      </c>
      <c r="H110" s="99" t="s">
        <v>925</v>
      </c>
      <c r="I110" s="104" t="s">
        <v>926</v>
      </c>
    </row>
    <row r="111" spans="1:9" ht="62.4">
      <c r="A111" s="85"/>
      <c r="B111" s="99" t="s">
        <v>927</v>
      </c>
      <c r="C111" s="81">
        <v>2023</v>
      </c>
      <c r="D111" s="81">
        <v>0.4</v>
      </c>
      <c r="E111" s="89">
        <v>9.6000000000000002E-2</v>
      </c>
      <c r="F111" s="102">
        <v>150</v>
      </c>
      <c r="G111" s="89">
        <f>5483.5496-4720.666</f>
        <v>762.88360000000011</v>
      </c>
      <c r="H111" s="99" t="s">
        <v>928</v>
      </c>
      <c r="I111" s="99" t="s">
        <v>929</v>
      </c>
    </row>
    <row r="112" spans="1:9">
      <c r="A112" s="85" t="s">
        <v>186</v>
      </c>
      <c r="B112" s="86" t="s">
        <v>930</v>
      </c>
      <c r="C112" s="85"/>
      <c r="D112" s="81"/>
      <c r="E112" s="87">
        <f>SUM(E113:E119)</f>
        <v>1.4628000000000001</v>
      </c>
      <c r="F112" s="101">
        <f t="shared" ref="F112:G112" si="13">SUM(F113:F119)</f>
        <v>1884</v>
      </c>
      <c r="G112" s="87">
        <f t="shared" si="13"/>
        <v>9555.7882900000004</v>
      </c>
      <c r="H112" s="95"/>
      <c r="I112" s="96"/>
    </row>
    <row r="113" spans="1:9" ht="46.8">
      <c r="A113" s="85"/>
      <c r="B113" s="99" t="s">
        <v>931</v>
      </c>
      <c r="C113" s="81">
        <v>2023</v>
      </c>
      <c r="D113" s="81">
        <v>0.4</v>
      </c>
      <c r="E113" s="89">
        <f>0.2124</f>
        <v>0.21240000000000001</v>
      </c>
      <c r="F113" s="102">
        <v>131</v>
      </c>
      <c r="G113" s="89">
        <f>580.45255+641.493</f>
        <v>1221.9455499999999</v>
      </c>
      <c r="H113" s="99" t="s">
        <v>139</v>
      </c>
      <c r="I113" s="104" t="s">
        <v>900</v>
      </c>
    </row>
    <row r="114" spans="1:9" ht="46.8">
      <c r="A114" s="85"/>
      <c r="B114" s="99" t="s">
        <v>932</v>
      </c>
      <c r="C114" s="81">
        <v>2023</v>
      </c>
      <c r="D114" s="81">
        <v>0.4</v>
      </c>
      <c r="E114" s="89">
        <v>0.21640000000000001</v>
      </c>
      <c r="F114" s="102">
        <v>131</v>
      </c>
      <c r="G114" s="89">
        <f>605.25825+589.422</f>
        <v>1194.6802499999999</v>
      </c>
      <c r="H114" s="99" t="s">
        <v>139</v>
      </c>
      <c r="I114" s="104" t="s">
        <v>900</v>
      </c>
    </row>
    <row r="115" spans="1:9" ht="46.8">
      <c r="A115" s="85"/>
      <c r="B115" s="99" t="s">
        <v>933</v>
      </c>
      <c r="C115" s="81">
        <v>2023</v>
      </c>
      <c r="D115" s="81">
        <v>0.4</v>
      </c>
      <c r="E115" s="89">
        <v>0.2301</v>
      </c>
      <c r="F115" s="102">
        <v>100</v>
      </c>
      <c r="G115" s="89">
        <v>1260.47768</v>
      </c>
      <c r="H115" s="99" t="s">
        <v>934</v>
      </c>
      <c r="I115" s="104" t="s">
        <v>897</v>
      </c>
    </row>
    <row r="116" spans="1:9" ht="46.8">
      <c r="A116" s="85"/>
      <c r="B116" s="99" t="s">
        <v>935</v>
      </c>
      <c r="C116" s="81">
        <v>2023</v>
      </c>
      <c r="D116" s="81">
        <v>0.4</v>
      </c>
      <c r="E116" s="89">
        <v>0.2361</v>
      </c>
      <c r="F116" s="102">
        <v>100</v>
      </c>
      <c r="G116" s="89">
        <v>1271.9311400000001</v>
      </c>
      <c r="H116" s="99" t="s">
        <v>936</v>
      </c>
      <c r="I116" s="104" t="s">
        <v>897</v>
      </c>
    </row>
    <row r="117" spans="1:9" ht="62.4">
      <c r="A117" s="85"/>
      <c r="B117" s="99" t="s">
        <v>937</v>
      </c>
      <c r="C117" s="81">
        <v>2023</v>
      </c>
      <c r="D117" s="81">
        <v>0.4</v>
      </c>
      <c r="E117" s="89">
        <v>0.1477</v>
      </c>
      <c r="F117" s="102">
        <v>636</v>
      </c>
      <c r="G117" s="89">
        <f>435.13026+448.34805</f>
        <v>883.47830999999996</v>
      </c>
      <c r="H117" s="99" t="s">
        <v>938</v>
      </c>
      <c r="I117" s="99" t="s">
        <v>908</v>
      </c>
    </row>
    <row r="118" spans="1:9" ht="62.4">
      <c r="A118" s="85"/>
      <c r="B118" s="99" t="s">
        <v>939</v>
      </c>
      <c r="C118" s="81">
        <v>2023</v>
      </c>
      <c r="D118" s="81">
        <v>0.4</v>
      </c>
      <c r="E118" s="89">
        <v>0.1671</v>
      </c>
      <c r="F118" s="102">
        <v>636</v>
      </c>
      <c r="G118" s="89">
        <f>526.98086+511.66825</f>
        <v>1038.6491100000001</v>
      </c>
      <c r="H118" s="99" t="s">
        <v>940</v>
      </c>
      <c r="I118" s="99" t="s">
        <v>908</v>
      </c>
    </row>
    <row r="119" spans="1:9" ht="46.8">
      <c r="A119" s="85"/>
      <c r="B119" s="99" t="s">
        <v>941</v>
      </c>
      <c r="C119" s="81">
        <v>2023</v>
      </c>
      <c r="D119" s="81">
        <v>0.4</v>
      </c>
      <c r="E119" s="89">
        <v>0.253</v>
      </c>
      <c r="F119" s="102">
        <v>150</v>
      </c>
      <c r="G119" s="89">
        <f>1784.62625+900</f>
        <v>2684.6262500000003</v>
      </c>
      <c r="H119" s="99" t="s">
        <v>942</v>
      </c>
      <c r="I119" s="99" t="s">
        <v>943</v>
      </c>
    </row>
    <row r="120" spans="1:9">
      <c r="A120" s="85" t="s">
        <v>944</v>
      </c>
      <c r="B120" s="86" t="s">
        <v>945</v>
      </c>
      <c r="C120" s="85"/>
      <c r="D120" s="81"/>
      <c r="E120" s="87">
        <f>E121</f>
        <v>4.9799999999999997E-2</v>
      </c>
      <c r="F120" s="101" t="str">
        <f t="shared" ref="F120:G120" si="14">F121</f>
        <v>65</v>
      </c>
      <c r="G120" s="87">
        <f t="shared" si="14"/>
        <v>225.81899999999999</v>
      </c>
      <c r="H120" s="95"/>
      <c r="I120" s="96"/>
    </row>
    <row r="121" spans="1:9" ht="46.8">
      <c r="A121" s="85"/>
      <c r="B121" s="99" t="s">
        <v>946</v>
      </c>
      <c r="C121" s="81">
        <v>2023</v>
      </c>
      <c r="D121" s="81">
        <v>0.4</v>
      </c>
      <c r="E121" s="89">
        <v>4.9799999999999997E-2</v>
      </c>
      <c r="F121" s="102" t="s">
        <v>947</v>
      </c>
      <c r="G121" s="89">
        <f>225.819</f>
        <v>225.81899999999999</v>
      </c>
      <c r="H121" s="99" t="s">
        <v>948</v>
      </c>
      <c r="I121" s="99" t="s">
        <v>842</v>
      </c>
    </row>
    <row r="122" spans="1:9">
      <c r="A122" s="85" t="s">
        <v>949</v>
      </c>
      <c r="B122" s="86" t="s">
        <v>950</v>
      </c>
      <c r="C122" s="85"/>
      <c r="D122" s="81"/>
      <c r="E122" s="87">
        <f>SUM(E123:E124)</f>
        <v>5.0999999999999997E-2</v>
      </c>
      <c r="F122" s="101">
        <f t="shared" ref="F122:G122" si="15">SUM(F123:F124)</f>
        <v>300</v>
      </c>
      <c r="G122" s="87">
        <f t="shared" si="15"/>
        <v>298.54430999999994</v>
      </c>
      <c r="H122" s="95"/>
      <c r="I122" s="96"/>
    </row>
    <row r="123" spans="1:9" ht="46.8">
      <c r="A123" s="85"/>
      <c r="B123" s="99" t="s">
        <v>951</v>
      </c>
      <c r="C123" s="81">
        <v>2023</v>
      </c>
      <c r="D123" s="81">
        <v>6</v>
      </c>
      <c r="E123" s="89">
        <v>2.5499999999999998E-2</v>
      </c>
      <c r="F123" s="102">
        <v>150</v>
      </c>
      <c r="G123" s="89">
        <v>169.75774999999993</v>
      </c>
      <c r="H123" s="99" t="s">
        <v>952</v>
      </c>
      <c r="I123" s="104" t="s">
        <v>741</v>
      </c>
    </row>
    <row r="124" spans="1:9" ht="46.8">
      <c r="A124" s="85"/>
      <c r="B124" s="99" t="s">
        <v>953</v>
      </c>
      <c r="C124" s="81">
        <v>2023</v>
      </c>
      <c r="D124" s="81">
        <v>6</v>
      </c>
      <c r="E124" s="89">
        <v>2.5499999999999998E-2</v>
      </c>
      <c r="F124" s="102">
        <v>150</v>
      </c>
      <c r="G124" s="89">
        <v>128.78656000000001</v>
      </c>
      <c r="H124" s="99" t="s">
        <v>952</v>
      </c>
      <c r="I124" s="104" t="s">
        <v>741</v>
      </c>
    </row>
    <row r="125" spans="1:9">
      <c r="A125" s="85" t="s">
        <v>127</v>
      </c>
      <c r="B125" s="86" t="s">
        <v>954</v>
      </c>
      <c r="C125" s="85"/>
      <c r="D125" s="81"/>
      <c r="E125" s="87">
        <f>SUM(E126:E127)</f>
        <v>2.5000000000000001E-2</v>
      </c>
      <c r="F125" s="87">
        <f t="shared" ref="F125:G125" si="16">SUM(F126:F127)</f>
        <v>710</v>
      </c>
      <c r="G125" s="87">
        <f t="shared" si="16"/>
        <v>189.66968</v>
      </c>
      <c r="H125" s="95"/>
      <c r="I125" s="96"/>
    </row>
    <row r="126" spans="1:9" s="105" customFormat="1" ht="62.4">
      <c r="A126" s="85"/>
      <c r="B126" s="99" t="s">
        <v>955</v>
      </c>
      <c r="C126" s="81">
        <v>2023</v>
      </c>
      <c r="D126" s="81">
        <v>0.4</v>
      </c>
      <c r="E126" s="89">
        <v>1.4E-2</v>
      </c>
      <c r="F126" s="102">
        <v>355</v>
      </c>
      <c r="G126" s="89">
        <v>96.398499999999999</v>
      </c>
      <c r="H126" s="99" t="s">
        <v>956</v>
      </c>
      <c r="I126" s="99" t="s">
        <v>836</v>
      </c>
    </row>
    <row r="127" spans="1:9" s="105" customFormat="1" ht="62.4">
      <c r="A127" s="85"/>
      <c r="B127" s="99" t="s">
        <v>957</v>
      </c>
      <c r="C127" s="81">
        <v>2023</v>
      </c>
      <c r="D127" s="81">
        <v>0.4</v>
      </c>
      <c r="E127" s="89">
        <v>1.0999999999999999E-2</v>
      </c>
      <c r="F127" s="102">
        <v>355</v>
      </c>
      <c r="G127" s="89">
        <v>93.271180000000001</v>
      </c>
      <c r="H127" s="99" t="s">
        <v>958</v>
      </c>
      <c r="I127" s="99" t="s">
        <v>836</v>
      </c>
    </row>
    <row r="128" spans="1:9">
      <c r="A128" s="85" t="s">
        <v>127</v>
      </c>
      <c r="B128" s="86" t="s">
        <v>954</v>
      </c>
      <c r="C128" s="85"/>
      <c r="D128" s="81"/>
      <c r="E128" s="87">
        <f>SUM(E129:E132)</f>
        <v>0.38109999999999999</v>
      </c>
      <c r="F128" s="87">
        <f t="shared" ref="F128:G128" si="17">SUM(F129:F132)</f>
        <v>875</v>
      </c>
      <c r="G128" s="87">
        <f t="shared" si="17"/>
        <v>1619.1482200000005</v>
      </c>
      <c r="H128" s="95"/>
      <c r="I128" s="96"/>
    </row>
    <row r="129" spans="1:9" s="105" customFormat="1" ht="46.8">
      <c r="A129" s="85"/>
      <c r="B129" s="99" t="s">
        <v>959</v>
      </c>
      <c r="C129" s="81">
        <v>2023</v>
      </c>
      <c r="D129" s="81">
        <v>6</v>
      </c>
      <c r="E129" s="89">
        <v>4.2999999999999997E-2</v>
      </c>
      <c r="F129" s="102">
        <v>150</v>
      </c>
      <c r="G129" s="89">
        <v>225.84318000000007</v>
      </c>
      <c r="H129" s="99" t="s">
        <v>960</v>
      </c>
      <c r="I129" s="104" t="s">
        <v>961</v>
      </c>
    </row>
    <row r="130" spans="1:9" s="105" customFormat="1" ht="46.8">
      <c r="A130" s="85"/>
      <c r="B130" s="99" t="s">
        <v>962</v>
      </c>
      <c r="C130" s="81">
        <v>2023</v>
      </c>
      <c r="D130" s="81">
        <v>6</v>
      </c>
      <c r="E130" s="89">
        <v>0.2011</v>
      </c>
      <c r="F130" s="102">
        <v>15</v>
      </c>
      <c r="G130" s="89">
        <v>724.5931400000004</v>
      </c>
      <c r="H130" s="99" t="s">
        <v>963</v>
      </c>
      <c r="I130" s="104" t="s">
        <v>735</v>
      </c>
    </row>
    <row r="131" spans="1:9" ht="46.8">
      <c r="A131" s="85"/>
      <c r="B131" s="99" t="s">
        <v>964</v>
      </c>
      <c r="C131" s="81">
        <v>2023</v>
      </c>
      <c r="D131" s="81">
        <v>6</v>
      </c>
      <c r="E131" s="89">
        <v>6.5000000000000002E-2</v>
      </c>
      <c r="F131" s="102">
        <v>355</v>
      </c>
      <c r="G131" s="89">
        <v>309.13096000000002</v>
      </c>
      <c r="H131" s="99" t="s">
        <v>965</v>
      </c>
      <c r="I131" s="99" t="s">
        <v>836</v>
      </c>
    </row>
    <row r="132" spans="1:9" ht="46.8">
      <c r="A132" s="85"/>
      <c r="B132" s="99" t="s">
        <v>966</v>
      </c>
      <c r="C132" s="81">
        <v>2023</v>
      </c>
      <c r="D132" s="81">
        <v>6</v>
      </c>
      <c r="E132" s="89">
        <v>7.1999999999999995E-2</v>
      </c>
      <c r="F132" s="102">
        <v>355</v>
      </c>
      <c r="G132" s="89">
        <v>359.58094</v>
      </c>
      <c r="H132" s="99" t="s">
        <v>967</v>
      </c>
      <c r="I132" s="99" t="s">
        <v>836</v>
      </c>
    </row>
    <row r="133" spans="1:9">
      <c r="A133" s="85" t="s">
        <v>129</v>
      </c>
      <c r="B133" s="86" t="s">
        <v>968</v>
      </c>
      <c r="C133" s="85"/>
      <c r="D133" s="81"/>
      <c r="E133" s="87">
        <f>SUM(E134:E135)</f>
        <v>0.40949999999999998</v>
      </c>
      <c r="F133" s="101">
        <f t="shared" ref="F133:G133" si="18">SUM(F134:F135)</f>
        <v>113</v>
      </c>
      <c r="G133" s="87">
        <f t="shared" si="18"/>
        <v>2113.7896099999998</v>
      </c>
      <c r="H133" s="95"/>
      <c r="I133" s="96"/>
    </row>
    <row r="134" spans="1:9" s="105" customFormat="1" ht="46.8">
      <c r="A134" s="85"/>
      <c r="B134" s="99" t="s">
        <v>969</v>
      </c>
      <c r="C134" s="81">
        <v>2023</v>
      </c>
      <c r="D134" s="81">
        <v>6</v>
      </c>
      <c r="E134" s="89">
        <v>6.93E-2</v>
      </c>
      <c r="F134" s="102">
        <v>98</v>
      </c>
      <c r="G134" s="89">
        <v>628.65823999999998</v>
      </c>
      <c r="H134" s="99" t="s">
        <v>970</v>
      </c>
      <c r="I134" s="99" t="s">
        <v>971</v>
      </c>
    </row>
    <row r="135" spans="1:9" s="105" customFormat="1" ht="46.8">
      <c r="A135" s="85"/>
      <c r="B135" s="99" t="s">
        <v>972</v>
      </c>
      <c r="C135" s="81">
        <v>2023</v>
      </c>
      <c r="D135" s="81">
        <v>6</v>
      </c>
      <c r="E135" s="89">
        <v>0.3402</v>
      </c>
      <c r="F135" s="102">
        <v>15</v>
      </c>
      <c r="G135" s="89">
        <f>1225.13137+260</f>
        <v>1485.1313700000001</v>
      </c>
      <c r="H135" s="99" t="s">
        <v>973</v>
      </c>
      <c r="I135" s="99" t="s">
        <v>773</v>
      </c>
    </row>
    <row r="136" spans="1:9">
      <c r="A136" s="85" t="s">
        <v>135</v>
      </c>
      <c r="B136" s="86" t="s">
        <v>974</v>
      </c>
      <c r="C136" s="85"/>
      <c r="D136" s="81"/>
      <c r="E136" s="87">
        <f>SUM(E137:E141)</f>
        <v>1.5680000000000001</v>
      </c>
      <c r="F136" s="101">
        <f t="shared" ref="F136:G136" si="19">SUM(F137:F141)</f>
        <v>2531</v>
      </c>
      <c r="G136" s="87">
        <f t="shared" si="19"/>
        <v>4793.5356900000006</v>
      </c>
      <c r="H136" s="95"/>
      <c r="I136" s="96"/>
    </row>
    <row r="137" spans="1:9" s="105" customFormat="1" ht="46.8">
      <c r="A137" s="85"/>
      <c r="B137" s="99" t="s">
        <v>975</v>
      </c>
      <c r="C137" s="81">
        <v>2023</v>
      </c>
      <c r="D137" s="81">
        <v>6</v>
      </c>
      <c r="E137" s="89">
        <v>0.26200000000000001</v>
      </c>
      <c r="F137" s="102">
        <v>622</v>
      </c>
      <c r="G137" s="89">
        <v>630.93035999999995</v>
      </c>
      <c r="H137" s="99" t="s">
        <v>976</v>
      </c>
      <c r="I137" s="104" t="s">
        <v>977</v>
      </c>
    </row>
    <row r="138" spans="1:9" s="105" customFormat="1" ht="46.8">
      <c r="A138" s="85"/>
      <c r="B138" s="99" t="s">
        <v>978</v>
      </c>
      <c r="C138" s="81">
        <v>2023</v>
      </c>
      <c r="D138" s="81">
        <v>6</v>
      </c>
      <c r="E138" s="89">
        <v>0.27900000000000003</v>
      </c>
      <c r="F138" s="102">
        <v>622</v>
      </c>
      <c r="G138" s="89">
        <v>851.15233000000012</v>
      </c>
      <c r="H138" s="99" t="s">
        <v>979</v>
      </c>
      <c r="I138" s="104" t="s">
        <v>977</v>
      </c>
    </row>
    <row r="139" spans="1:9" s="105" customFormat="1" ht="46.8">
      <c r="A139" s="85"/>
      <c r="B139" s="99" t="s">
        <v>980</v>
      </c>
      <c r="C139" s="81">
        <v>2023</v>
      </c>
      <c r="D139" s="81">
        <v>6</v>
      </c>
      <c r="E139" s="89">
        <v>0.432</v>
      </c>
      <c r="F139" s="102">
        <v>636</v>
      </c>
      <c r="G139" s="89">
        <f>1598.00127-263.128</f>
        <v>1334.87327</v>
      </c>
      <c r="H139" s="99" t="s">
        <v>981</v>
      </c>
      <c r="I139" s="99" t="s">
        <v>908</v>
      </c>
    </row>
    <row r="140" spans="1:9" s="105" customFormat="1" ht="46.8">
      <c r="A140" s="85"/>
      <c r="B140" s="99" t="s">
        <v>982</v>
      </c>
      <c r="C140" s="81">
        <v>2023</v>
      </c>
      <c r="D140" s="81">
        <v>6</v>
      </c>
      <c r="E140" s="89">
        <v>0.35</v>
      </c>
      <c r="F140" s="102">
        <v>636</v>
      </c>
      <c r="G140" s="89">
        <f>1402.94873-263.128</f>
        <v>1139.8207300000001</v>
      </c>
      <c r="H140" s="99" t="s">
        <v>983</v>
      </c>
      <c r="I140" s="99" t="s">
        <v>908</v>
      </c>
    </row>
    <row r="141" spans="1:9" ht="46.8">
      <c r="A141" s="85"/>
      <c r="B141" s="106" t="s">
        <v>984</v>
      </c>
      <c r="C141" s="81">
        <v>2023</v>
      </c>
      <c r="D141" s="81">
        <v>6</v>
      </c>
      <c r="E141" s="107">
        <v>0.245</v>
      </c>
      <c r="F141" s="108">
        <v>15</v>
      </c>
      <c r="G141" s="109">
        <v>836.75900000000013</v>
      </c>
      <c r="H141" s="110" t="s">
        <v>185</v>
      </c>
      <c r="I141" s="81" t="s">
        <v>985</v>
      </c>
    </row>
    <row r="142" spans="1:9">
      <c r="A142" s="85" t="s">
        <v>136</v>
      </c>
      <c r="B142" s="86" t="s">
        <v>986</v>
      </c>
      <c r="C142" s="85"/>
      <c r="D142" s="81"/>
      <c r="E142" s="87">
        <f>E143</f>
        <v>0.09</v>
      </c>
      <c r="F142" s="87">
        <f t="shared" ref="F142:G142" si="20">F143</f>
        <v>15</v>
      </c>
      <c r="G142" s="87">
        <f t="shared" si="20"/>
        <v>349.61509999999998</v>
      </c>
      <c r="H142" s="95"/>
      <c r="I142" s="96"/>
    </row>
    <row r="143" spans="1:9" s="105" customFormat="1" ht="31.2">
      <c r="A143" s="85"/>
      <c r="B143" s="99" t="s">
        <v>987</v>
      </c>
      <c r="C143" s="81">
        <v>2023</v>
      </c>
      <c r="D143" s="81">
        <v>6</v>
      </c>
      <c r="E143" s="89">
        <v>0.09</v>
      </c>
      <c r="F143" s="102">
        <v>15</v>
      </c>
      <c r="G143" s="89">
        <v>349.61509999999998</v>
      </c>
      <c r="H143" s="99" t="s">
        <v>988</v>
      </c>
      <c r="I143" s="104" t="s">
        <v>743</v>
      </c>
    </row>
    <row r="144" spans="1:9">
      <c r="A144" s="85" t="s">
        <v>136</v>
      </c>
      <c r="B144" s="86" t="s">
        <v>986</v>
      </c>
      <c r="C144" s="85"/>
      <c r="D144" s="81"/>
      <c r="E144" s="87">
        <f>E145</f>
        <v>0.19450000000000001</v>
      </c>
      <c r="F144" s="87">
        <f t="shared" ref="F144:G144" si="21">F145</f>
        <v>150</v>
      </c>
      <c r="G144" s="87">
        <f t="shared" si="21"/>
        <v>1418.0098600000006</v>
      </c>
      <c r="H144" s="95"/>
      <c r="I144" s="96"/>
    </row>
    <row r="145" spans="1:9" ht="62.4">
      <c r="B145" s="99" t="s">
        <v>989</v>
      </c>
      <c r="C145" s="81">
        <v>2023</v>
      </c>
      <c r="D145" s="81">
        <v>0.4</v>
      </c>
      <c r="E145" s="81">
        <v>0.19450000000000001</v>
      </c>
      <c r="F145" s="102">
        <v>150</v>
      </c>
      <c r="G145" s="89">
        <v>1418.0098600000006</v>
      </c>
      <c r="H145" s="99" t="s">
        <v>990</v>
      </c>
      <c r="I145" s="99" t="s">
        <v>991</v>
      </c>
    </row>
    <row r="146" spans="1:9">
      <c r="A146" s="85" t="s">
        <v>140</v>
      </c>
      <c r="B146" s="86" t="s">
        <v>992</v>
      </c>
      <c r="C146" s="85"/>
      <c r="D146" s="81"/>
      <c r="E146" s="87">
        <f>E147</f>
        <v>0.1244</v>
      </c>
      <c r="F146" s="87">
        <f t="shared" ref="F146:G146" si="22">F147</f>
        <v>150</v>
      </c>
      <c r="G146" s="87">
        <f t="shared" si="22"/>
        <v>709.04471199999989</v>
      </c>
      <c r="H146" s="95"/>
      <c r="I146" s="96"/>
    </row>
    <row r="147" spans="1:9" ht="46.8">
      <c r="A147" s="85"/>
      <c r="B147" s="99" t="s">
        <v>993</v>
      </c>
      <c r="C147" s="81">
        <v>2023</v>
      </c>
      <c r="D147" s="81">
        <v>0.4</v>
      </c>
      <c r="E147" s="89">
        <v>0.1244</v>
      </c>
      <c r="F147" s="102">
        <v>150</v>
      </c>
      <c r="G147" s="89">
        <v>709.04471199999989</v>
      </c>
      <c r="H147" s="99" t="s">
        <v>994</v>
      </c>
      <c r="I147" s="104" t="s">
        <v>995</v>
      </c>
    </row>
    <row r="148" spans="1:9">
      <c r="A148" s="85" t="s">
        <v>140</v>
      </c>
      <c r="B148" s="86" t="s">
        <v>992</v>
      </c>
      <c r="C148" s="85"/>
      <c r="D148" s="81"/>
      <c r="E148" s="87">
        <f>SUM(E149:E150)</f>
        <v>1.349</v>
      </c>
      <c r="F148" s="87">
        <f t="shared" ref="F148:G148" si="23">SUM(F149:F150)</f>
        <v>110</v>
      </c>
      <c r="G148" s="87">
        <f t="shared" si="23"/>
        <v>6540.074419999999</v>
      </c>
      <c r="H148" s="95"/>
      <c r="I148" s="96"/>
    </row>
    <row r="149" spans="1:9" s="105" customFormat="1" ht="46.8">
      <c r="A149" s="85"/>
      <c r="B149" s="99" t="s">
        <v>996</v>
      </c>
      <c r="C149" s="81">
        <v>2023</v>
      </c>
      <c r="D149" s="81">
        <v>6</v>
      </c>
      <c r="E149" s="89">
        <v>0.16300000000000001</v>
      </c>
      <c r="F149" s="102">
        <v>95</v>
      </c>
      <c r="G149" s="89">
        <v>1178.846</v>
      </c>
      <c r="H149" s="99" t="s">
        <v>997</v>
      </c>
      <c r="I149" s="99" t="s">
        <v>789</v>
      </c>
    </row>
    <row r="150" spans="1:9" ht="46.8">
      <c r="A150" s="85"/>
      <c r="B150" s="106" t="s">
        <v>998</v>
      </c>
      <c r="C150" s="85">
        <v>2023</v>
      </c>
      <c r="D150" s="81">
        <v>6</v>
      </c>
      <c r="E150" s="89">
        <v>1.1859999999999999</v>
      </c>
      <c r="F150" s="108">
        <v>15</v>
      </c>
      <c r="G150" s="109">
        <v>5361.2284199999995</v>
      </c>
      <c r="H150" s="110" t="s">
        <v>999</v>
      </c>
      <c r="I150" s="81" t="s">
        <v>985</v>
      </c>
    </row>
    <row r="151" spans="1:9">
      <c r="A151" s="85" t="s">
        <v>263</v>
      </c>
      <c r="B151" s="86" t="s">
        <v>1000</v>
      </c>
      <c r="C151" s="85"/>
      <c r="D151" s="81"/>
      <c r="E151" s="87">
        <f>E152</f>
        <v>4.2000000000000003E-2</v>
      </c>
      <c r="F151" s="101" t="str">
        <f t="shared" ref="F151:G151" si="24">F152</f>
        <v>50</v>
      </c>
      <c r="G151" s="87">
        <f t="shared" si="24"/>
        <v>663.80899999999997</v>
      </c>
      <c r="H151" s="95"/>
      <c r="I151" s="96"/>
    </row>
    <row r="152" spans="1:9" s="105" customFormat="1" ht="62.4">
      <c r="A152" s="85"/>
      <c r="B152" s="99" t="s">
        <v>818</v>
      </c>
      <c r="C152" s="81">
        <v>2023</v>
      </c>
      <c r="D152" s="81">
        <v>0.4</v>
      </c>
      <c r="E152" s="89">
        <v>4.2000000000000003E-2</v>
      </c>
      <c r="F152" s="102" t="s">
        <v>1001</v>
      </c>
      <c r="G152" s="89">
        <f>863.809-200</f>
        <v>663.80899999999997</v>
      </c>
      <c r="H152" s="99" t="s">
        <v>819</v>
      </c>
      <c r="I152" s="99" t="s">
        <v>820</v>
      </c>
    </row>
    <row r="153" spans="1:9">
      <c r="A153" s="85" t="s">
        <v>189</v>
      </c>
      <c r="B153" s="86" t="s">
        <v>1002</v>
      </c>
      <c r="C153" s="85"/>
      <c r="D153" s="81"/>
      <c r="E153" s="87">
        <f>SUM(E154:E160)</f>
        <v>0.48880000000000001</v>
      </c>
      <c r="F153" s="101">
        <f t="shared" ref="F153:G153" si="25">SUM(F154:F160)</f>
        <v>446.8</v>
      </c>
      <c r="G153" s="87">
        <f t="shared" si="25"/>
        <v>6363.5122799999999</v>
      </c>
      <c r="H153" s="95"/>
      <c r="I153" s="96"/>
    </row>
    <row r="154" spans="1:9" s="105" customFormat="1" ht="46.8">
      <c r="A154" s="85"/>
      <c r="B154" s="99" t="s">
        <v>824</v>
      </c>
      <c r="C154" s="81">
        <v>2023</v>
      </c>
      <c r="D154" s="81">
        <v>0.4</v>
      </c>
      <c r="E154" s="89">
        <v>3.9E-2</v>
      </c>
      <c r="F154" s="102">
        <v>80</v>
      </c>
      <c r="G154" s="89">
        <v>296.84699999999998</v>
      </c>
      <c r="H154" s="99" t="s">
        <v>825</v>
      </c>
      <c r="I154" s="104" t="s">
        <v>826</v>
      </c>
    </row>
    <row r="155" spans="1:9" s="105" customFormat="1" ht="62.4">
      <c r="A155" s="85"/>
      <c r="B155" s="99" t="s">
        <v>831</v>
      </c>
      <c r="C155" s="81">
        <v>2023</v>
      </c>
      <c r="D155" s="81">
        <v>0.4</v>
      </c>
      <c r="E155" s="89">
        <v>0.1048</v>
      </c>
      <c r="F155" s="102">
        <v>15</v>
      </c>
      <c r="G155" s="89">
        <v>903.03</v>
      </c>
      <c r="H155" s="99" t="s">
        <v>832</v>
      </c>
      <c r="I155" s="104" t="s">
        <v>833</v>
      </c>
    </row>
    <row r="156" spans="1:9" s="105" customFormat="1" ht="46.8">
      <c r="A156" s="85"/>
      <c r="B156" s="99" t="s">
        <v>840</v>
      </c>
      <c r="C156" s="81">
        <v>2023</v>
      </c>
      <c r="D156" s="81">
        <v>0.4</v>
      </c>
      <c r="E156" s="89">
        <v>7.9000000000000001E-2</v>
      </c>
      <c r="F156" s="102">
        <v>65</v>
      </c>
      <c r="G156" s="89">
        <f>16395.32*E156</f>
        <v>1295.23028</v>
      </c>
      <c r="H156" s="99" t="s">
        <v>841</v>
      </c>
      <c r="I156" s="99" t="s">
        <v>842</v>
      </c>
    </row>
    <row r="157" spans="1:9" s="105" customFormat="1" ht="62.4">
      <c r="A157" s="85"/>
      <c r="B157" s="99" t="s">
        <v>837</v>
      </c>
      <c r="C157" s="81">
        <v>2023</v>
      </c>
      <c r="D157" s="81">
        <v>0.4</v>
      </c>
      <c r="E157" s="89">
        <v>3.6999999999999998E-2</v>
      </c>
      <c r="F157" s="102">
        <v>75</v>
      </c>
      <c r="G157" s="89">
        <v>765.78300000000002</v>
      </c>
      <c r="H157" s="99" t="s">
        <v>838</v>
      </c>
      <c r="I157" s="99" t="s">
        <v>839</v>
      </c>
    </row>
    <row r="158" spans="1:9" s="105" customFormat="1" ht="46.8">
      <c r="A158" s="85"/>
      <c r="B158" s="99" t="s">
        <v>843</v>
      </c>
      <c r="C158" s="81">
        <v>2023</v>
      </c>
      <c r="D158" s="81">
        <v>0.4</v>
      </c>
      <c r="E158" s="89">
        <v>0.129</v>
      </c>
      <c r="F158" s="102">
        <v>80</v>
      </c>
      <c r="G158" s="89">
        <v>1982.5540000000001</v>
      </c>
      <c r="H158" s="99" t="s">
        <v>844</v>
      </c>
      <c r="I158" s="104" t="s">
        <v>842</v>
      </c>
    </row>
    <row r="159" spans="1:9" s="105" customFormat="1" ht="46.8">
      <c r="A159" s="85"/>
      <c r="B159" s="99" t="s">
        <v>845</v>
      </c>
      <c r="C159" s="81">
        <v>2023</v>
      </c>
      <c r="D159" s="81">
        <v>0.4</v>
      </c>
      <c r="E159" s="89">
        <v>6.7000000000000004E-2</v>
      </c>
      <c r="F159" s="102">
        <v>50</v>
      </c>
      <c r="G159" s="89">
        <v>755.42</v>
      </c>
      <c r="H159" s="99" t="s">
        <v>846</v>
      </c>
      <c r="I159" s="104" t="s">
        <v>847</v>
      </c>
    </row>
    <row r="160" spans="1:9" s="105" customFormat="1" ht="46.8">
      <c r="A160" s="85"/>
      <c r="B160" s="99" t="s">
        <v>848</v>
      </c>
      <c r="C160" s="81">
        <v>2023</v>
      </c>
      <c r="D160" s="81">
        <v>0.4</v>
      </c>
      <c r="E160" s="89">
        <v>3.3000000000000002E-2</v>
      </c>
      <c r="F160" s="102">
        <v>81.8</v>
      </c>
      <c r="G160" s="89">
        <v>364.64800000000002</v>
      </c>
      <c r="H160" s="99" t="s">
        <v>849</v>
      </c>
      <c r="I160" s="104" t="s">
        <v>850</v>
      </c>
    </row>
    <row r="161" spans="1:9">
      <c r="A161" s="85" t="s">
        <v>146</v>
      </c>
      <c r="B161" s="86" t="s">
        <v>1003</v>
      </c>
      <c r="C161" s="85"/>
      <c r="D161" s="81"/>
      <c r="E161" s="87">
        <f>SUM(E162:E176)</f>
        <v>1.2315</v>
      </c>
      <c r="F161" s="101">
        <f t="shared" ref="F161:G161" si="26">SUM(F162:F176)</f>
        <v>1950</v>
      </c>
      <c r="G161" s="87">
        <f t="shared" si="26"/>
        <v>19329.012999999999</v>
      </c>
      <c r="H161" s="95"/>
      <c r="I161" s="96"/>
    </row>
    <row r="162" spans="1:9" ht="84" customHeight="1">
      <c r="A162" s="85"/>
      <c r="B162" s="99" t="s">
        <v>885</v>
      </c>
      <c r="C162" s="81">
        <v>2023</v>
      </c>
      <c r="D162" s="81">
        <v>0.4</v>
      </c>
      <c r="E162" s="89">
        <v>0.10440000000000001</v>
      </c>
      <c r="F162" s="102">
        <v>210</v>
      </c>
      <c r="G162" s="89">
        <v>1274.5530000000001</v>
      </c>
      <c r="H162" s="111" t="s">
        <v>886</v>
      </c>
      <c r="I162" s="99" t="s">
        <v>884</v>
      </c>
    </row>
    <row r="163" spans="1:9" ht="62.4">
      <c r="B163" s="99" t="s">
        <v>852</v>
      </c>
      <c r="C163" s="81">
        <v>2023</v>
      </c>
      <c r="D163" s="81">
        <v>0.4</v>
      </c>
      <c r="E163" s="89">
        <v>1.4999999999999999E-2</v>
      </c>
      <c r="F163" s="102">
        <v>90</v>
      </c>
      <c r="G163" s="89">
        <v>244.26</v>
      </c>
      <c r="H163" s="99" t="s">
        <v>853</v>
      </c>
      <c r="I163" s="99" t="s">
        <v>854</v>
      </c>
    </row>
    <row r="164" spans="1:9" ht="46.8">
      <c r="B164" s="99" t="s">
        <v>855</v>
      </c>
      <c r="C164" s="81">
        <v>2023</v>
      </c>
      <c r="D164" s="81">
        <v>0.4</v>
      </c>
      <c r="E164" s="89">
        <v>0.17799999999999999</v>
      </c>
      <c r="F164" s="102">
        <v>135</v>
      </c>
      <c r="G164" s="89">
        <f>2582.625+50</f>
        <v>2632.625</v>
      </c>
      <c r="H164" s="99" t="s">
        <v>856</v>
      </c>
      <c r="I164" s="99" t="s">
        <v>814</v>
      </c>
    </row>
    <row r="165" spans="1:9" ht="46.8">
      <c r="B165" s="99" t="s">
        <v>857</v>
      </c>
      <c r="C165" s="81">
        <v>2023</v>
      </c>
      <c r="D165" s="81">
        <v>0.4</v>
      </c>
      <c r="E165" s="89">
        <v>0.15049999999999999</v>
      </c>
      <c r="F165" s="102">
        <v>120</v>
      </c>
      <c r="G165" s="89">
        <v>2225.971</v>
      </c>
      <c r="H165" s="99" t="s">
        <v>858</v>
      </c>
      <c r="I165" s="99" t="s">
        <v>817</v>
      </c>
    </row>
    <row r="166" spans="1:9" ht="46.8">
      <c r="B166" s="99" t="s">
        <v>859</v>
      </c>
      <c r="C166" s="81">
        <v>2023</v>
      </c>
      <c r="D166" s="81">
        <v>0.4</v>
      </c>
      <c r="E166" s="89">
        <v>7.8E-2</v>
      </c>
      <c r="F166" s="102">
        <v>150</v>
      </c>
      <c r="G166" s="89">
        <v>1191.4739999999999</v>
      </c>
      <c r="H166" s="99" t="s">
        <v>860</v>
      </c>
      <c r="I166" s="99" t="s">
        <v>861</v>
      </c>
    </row>
    <row r="167" spans="1:9" ht="62.4">
      <c r="B167" s="99" t="s">
        <v>862</v>
      </c>
      <c r="C167" s="81">
        <v>2023</v>
      </c>
      <c r="D167" s="81">
        <v>0.4</v>
      </c>
      <c r="E167" s="89">
        <v>8.4000000000000005E-2</v>
      </c>
      <c r="F167" s="102">
        <v>80</v>
      </c>
      <c r="G167" s="89">
        <v>1514.2760000000001</v>
      </c>
      <c r="H167" s="99" t="s">
        <v>863</v>
      </c>
      <c r="I167" s="99" t="s">
        <v>814</v>
      </c>
    </row>
    <row r="168" spans="1:9" ht="62.4">
      <c r="B168" s="99" t="s">
        <v>864</v>
      </c>
      <c r="C168" s="81">
        <v>2023</v>
      </c>
      <c r="D168" s="81">
        <v>0.4</v>
      </c>
      <c r="E168" s="89">
        <v>9.9199999999999997E-2</v>
      </c>
      <c r="F168" s="102">
        <v>150</v>
      </c>
      <c r="G168" s="89">
        <f>1383.98+163.254</f>
        <v>1547.2339999999999</v>
      </c>
      <c r="H168" s="99" t="s">
        <v>865</v>
      </c>
      <c r="I168" s="99" t="s">
        <v>866</v>
      </c>
    </row>
    <row r="169" spans="1:9" ht="46.8">
      <c r="B169" s="99" t="s">
        <v>887</v>
      </c>
      <c r="C169" s="81">
        <v>2023</v>
      </c>
      <c r="D169" s="81">
        <v>0.4</v>
      </c>
      <c r="E169" s="89">
        <v>5.1999999999999998E-2</v>
      </c>
      <c r="F169" s="102">
        <v>140</v>
      </c>
      <c r="G169" s="89">
        <v>1158.0889999999999</v>
      </c>
      <c r="H169" s="99" t="s">
        <v>888</v>
      </c>
      <c r="I169" s="99" t="s">
        <v>889</v>
      </c>
    </row>
    <row r="170" spans="1:9" ht="46.8">
      <c r="B170" s="99" t="s">
        <v>867</v>
      </c>
      <c r="C170" s="81">
        <v>2023</v>
      </c>
      <c r="D170" s="81">
        <v>0.4</v>
      </c>
      <c r="E170" s="89">
        <v>1.4999999999999999E-2</v>
      </c>
      <c r="F170" s="102">
        <v>150</v>
      </c>
      <c r="G170" s="89">
        <f>137.045+30</f>
        <v>167.04499999999999</v>
      </c>
      <c r="H170" s="99" t="s">
        <v>868</v>
      </c>
      <c r="I170" s="99" t="s">
        <v>741</v>
      </c>
    </row>
    <row r="171" spans="1:9" ht="46.8">
      <c r="B171" s="99" t="s">
        <v>871</v>
      </c>
      <c r="C171" s="81">
        <v>2023</v>
      </c>
      <c r="D171" s="81">
        <v>0.4</v>
      </c>
      <c r="E171" s="89">
        <v>0.156</v>
      </c>
      <c r="F171" s="102">
        <v>120</v>
      </c>
      <c r="G171" s="89">
        <f>2242.143+200</f>
        <v>2442.143</v>
      </c>
      <c r="H171" s="99" t="s">
        <v>872</v>
      </c>
      <c r="I171" s="99" t="s">
        <v>873</v>
      </c>
    </row>
    <row r="172" spans="1:9" ht="46.8">
      <c r="B172" s="99" t="s">
        <v>874</v>
      </c>
      <c r="C172" s="81">
        <v>2023</v>
      </c>
      <c r="D172" s="81">
        <v>0.4</v>
      </c>
      <c r="E172" s="89">
        <v>5.1999999999999998E-2</v>
      </c>
      <c r="F172" s="102">
        <v>150</v>
      </c>
      <c r="G172" s="89">
        <f>890.658+50</f>
        <v>940.65800000000002</v>
      </c>
      <c r="H172" s="99" t="s">
        <v>875</v>
      </c>
      <c r="I172" s="99" t="s">
        <v>876</v>
      </c>
    </row>
    <row r="173" spans="1:9" ht="46.8">
      <c r="B173" s="99" t="s">
        <v>877</v>
      </c>
      <c r="C173" s="81">
        <v>2023</v>
      </c>
      <c r="D173" s="81">
        <v>0.4</v>
      </c>
      <c r="E173" s="89">
        <v>6.2899999999999998E-2</v>
      </c>
      <c r="F173" s="102">
        <v>140</v>
      </c>
      <c r="G173" s="89">
        <f>1341.459+156.756</f>
        <v>1498.2150000000001</v>
      </c>
      <c r="H173" s="99" t="s">
        <v>878</v>
      </c>
      <c r="I173" s="99" t="s">
        <v>766</v>
      </c>
    </row>
    <row r="174" spans="1:9" ht="62.4">
      <c r="B174" s="99" t="s">
        <v>879</v>
      </c>
      <c r="C174" s="81">
        <v>2023</v>
      </c>
      <c r="D174" s="81">
        <v>0.4</v>
      </c>
      <c r="E174" s="89">
        <v>4.2000000000000003E-2</v>
      </c>
      <c r="F174" s="102">
        <v>150</v>
      </c>
      <c r="G174" s="89">
        <f>484.436+100</f>
        <v>584.43599999999992</v>
      </c>
      <c r="H174" s="99" t="s">
        <v>880</v>
      </c>
      <c r="I174" s="99" t="s">
        <v>881</v>
      </c>
    </row>
    <row r="175" spans="1:9" ht="62.4">
      <c r="B175" s="99" t="s">
        <v>890</v>
      </c>
      <c r="C175" s="81">
        <v>2023</v>
      </c>
      <c r="D175" s="81">
        <v>0.4</v>
      </c>
      <c r="E175" s="89">
        <v>1.0500000000000001E-2</v>
      </c>
      <c r="F175" s="102">
        <v>15</v>
      </c>
      <c r="G175" s="89">
        <f>197.827-30</f>
        <v>167.827</v>
      </c>
      <c r="H175" s="99" t="s">
        <v>891</v>
      </c>
      <c r="I175" s="99" t="s">
        <v>764</v>
      </c>
    </row>
    <row r="176" spans="1:9" ht="46.8">
      <c r="B176" s="99" t="s">
        <v>892</v>
      </c>
      <c r="C176" s="81">
        <v>2023</v>
      </c>
      <c r="D176" s="81">
        <v>0.4</v>
      </c>
      <c r="E176" s="89">
        <v>0.13200000000000001</v>
      </c>
      <c r="F176" s="102">
        <v>150</v>
      </c>
      <c r="G176" s="89">
        <v>1740.2070000000001</v>
      </c>
      <c r="H176" s="99" t="s">
        <v>893</v>
      </c>
      <c r="I176" s="99" t="s">
        <v>894</v>
      </c>
    </row>
    <row r="177" spans="1:9">
      <c r="A177" s="85" t="s">
        <v>147</v>
      </c>
      <c r="B177" s="86" t="s">
        <v>1004</v>
      </c>
      <c r="C177" s="85"/>
      <c r="D177" s="81"/>
      <c r="E177" s="87">
        <f>SUM(E178:E182)</f>
        <v>0.53800000000000003</v>
      </c>
      <c r="F177" s="101">
        <f t="shared" ref="F177:G177" si="27">SUM(F178:F182)</f>
        <v>950.11</v>
      </c>
      <c r="G177" s="87">
        <f t="shared" si="27"/>
        <v>12871.316449999998</v>
      </c>
      <c r="H177" s="95"/>
      <c r="I177" s="96"/>
    </row>
    <row r="178" spans="1:9" ht="46.8">
      <c r="B178" s="99" t="s">
        <v>895</v>
      </c>
      <c r="C178" s="81">
        <v>2023</v>
      </c>
      <c r="D178" s="81">
        <v>0.4</v>
      </c>
      <c r="E178" s="89">
        <v>3.3000000000000002E-2</v>
      </c>
      <c r="F178" s="102">
        <v>100</v>
      </c>
      <c r="G178" s="89">
        <f>760+150.249</f>
        <v>910.24900000000002</v>
      </c>
      <c r="H178" s="99" t="s">
        <v>896</v>
      </c>
      <c r="I178" s="99" t="s">
        <v>897</v>
      </c>
    </row>
    <row r="179" spans="1:9" ht="62.4">
      <c r="B179" s="99" t="s">
        <v>903</v>
      </c>
      <c r="C179" s="81">
        <v>2023</v>
      </c>
      <c r="D179" s="81">
        <v>0.4</v>
      </c>
      <c r="E179" s="89">
        <v>8.5000000000000006E-2</v>
      </c>
      <c r="F179" s="102">
        <v>209.11</v>
      </c>
      <c r="G179" s="89">
        <v>2244.1854499999999</v>
      </c>
      <c r="H179" s="99" t="s">
        <v>904</v>
      </c>
      <c r="I179" s="99" t="s">
        <v>905</v>
      </c>
    </row>
    <row r="180" spans="1:9" ht="46.8">
      <c r="B180" s="99" t="s">
        <v>911</v>
      </c>
      <c r="C180" s="81">
        <v>2023</v>
      </c>
      <c r="D180" s="81">
        <v>0.4</v>
      </c>
      <c r="E180" s="89">
        <v>3.9E-2</v>
      </c>
      <c r="F180" s="102">
        <v>330</v>
      </c>
      <c r="G180" s="89">
        <f>802.468</f>
        <v>802.46799999999996</v>
      </c>
      <c r="H180" s="99" t="s">
        <v>912</v>
      </c>
      <c r="I180" s="99" t="s">
        <v>913</v>
      </c>
    </row>
    <row r="181" spans="1:9" ht="62.4">
      <c r="B181" s="99" t="s">
        <v>914</v>
      </c>
      <c r="C181" s="81">
        <v>2023</v>
      </c>
      <c r="D181" s="81">
        <v>0.4</v>
      </c>
      <c r="E181" s="89">
        <v>0.27300000000000002</v>
      </c>
      <c r="F181" s="102">
        <v>150</v>
      </c>
      <c r="G181" s="89">
        <v>6330.83</v>
      </c>
      <c r="H181" s="99" t="s">
        <v>915</v>
      </c>
      <c r="I181" s="99" t="s">
        <v>916</v>
      </c>
    </row>
    <row r="182" spans="1:9" ht="46.8">
      <c r="B182" s="99" t="s">
        <v>917</v>
      </c>
      <c r="C182" s="81">
        <v>2023</v>
      </c>
      <c r="D182" s="81">
        <v>0.4</v>
      </c>
      <c r="E182" s="89">
        <v>0.108</v>
      </c>
      <c r="F182" s="102">
        <v>161</v>
      </c>
      <c r="G182" s="89">
        <v>2583.5839999999998</v>
      </c>
      <c r="H182" s="99" t="s">
        <v>918</v>
      </c>
      <c r="I182" s="99" t="s">
        <v>919</v>
      </c>
    </row>
    <row r="183" spans="1:9">
      <c r="A183" s="85" t="s">
        <v>150</v>
      </c>
      <c r="B183" s="86" t="s">
        <v>1005</v>
      </c>
      <c r="C183" s="85"/>
      <c r="D183" s="81"/>
      <c r="E183" s="87">
        <f>SUM(E184:E186)</f>
        <v>0.53539999999999999</v>
      </c>
      <c r="F183" s="101">
        <f t="shared" ref="F183:G183" si="28">SUM(F184:F186)</f>
        <v>450</v>
      </c>
      <c r="G183" s="87">
        <f t="shared" si="28"/>
        <v>11501.143</v>
      </c>
      <c r="H183" s="95"/>
      <c r="I183" s="96"/>
    </row>
    <row r="184" spans="1:9" ht="62.4">
      <c r="A184" s="85"/>
      <c r="B184" s="99" t="s">
        <v>921</v>
      </c>
      <c r="C184" s="81">
        <v>2023</v>
      </c>
      <c r="D184" s="81">
        <v>0.4</v>
      </c>
      <c r="E184" s="89">
        <v>0.2039</v>
      </c>
      <c r="F184" s="102">
        <v>150</v>
      </c>
      <c r="G184" s="89">
        <v>3500.2190000000001</v>
      </c>
      <c r="H184" s="99" t="s">
        <v>922</v>
      </c>
      <c r="I184" s="104" t="s">
        <v>923</v>
      </c>
    </row>
    <row r="185" spans="1:9" ht="46.8">
      <c r="A185" s="85"/>
      <c r="B185" s="99" t="s">
        <v>924</v>
      </c>
      <c r="C185" s="81">
        <v>2023</v>
      </c>
      <c r="D185" s="81">
        <v>0.4</v>
      </c>
      <c r="E185" s="89">
        <v>0.1515</v>
      </c>
      <c r="F185" s="102">
        <v>150</v>
      </c>
      <c r="G185" s="89">
        <v>3280.2579999999998</v>
      </c>
      <c r="H185" s="99" t="s">
        <v>925</v>
      </c>
      <c r="I185" s="104" t="s">
        <v>926</v>
      </c>
    </row>
    <row r="186" spans="1:9" ht="62.4">
      <c r="A186" s="85"/>
      <c r="B186" s="99" t="s">
        <v>927</v>
      </c>
      <c r="C186" s="81">
        <v>2023</v>
      </c>
      <c r="D186" s="81">
        <v>0.4</v>
      </c>
      <c r="E186" s="89">
        <v>0.18</v>
      </c>
      <c r="F186" s="102">
        <v>150</v>
      </c>
      <c r="G186" s="89">
        <v>4720.6660000000002</v>
      </c>
      <c r="H186" s="99" t="s">
        <v>928</v>
      </c>
      <c r="I186" s="99" t="s">
        <v>929</v>
      </c>
    </row>
    <row r="187" spans="1:9">
      <c r="A187" s="85" t="s">
        <v>151</v>
      </c>
      <c r="B187" s="86" t="s">
        <v>1006</v>
      </c>
      <c r="C187" s="85"/>
      <c r="D187" s="81"/>
      <c r="E187" s="87">
        <f>E188</f>
        <v>0.04</v>
      </c>
      <c r="F187" s="101" t="str">
        <f t="shared" ref="F187:G187" si="29">F188</f>
        <v>150</v>
      </c>
      <c r="G187" s="87">
        <f t="shared" si="29"/>
        <v>1122.1880000000001</v>
      </c>
      <c r="H187" s="95"/>
      <c r="I187" s="96"/>
    </row>
    <row r="188" spans="1:9" ht="46.8">
      <c r="A188" s="85"/>
      <c r="B188" s="99" t="s">
        <v>941</v>
      </c>
      <c r="C188" s="81">
        <v>2023</v>
      </c>
      <c r="D188" s="81">
        <v>0.4</v>
      </c>
      <c r="E188" s="89">
        <v>0.04</v>
      </c>
      <c r="F188" s="102" t="s">
        <v>1007</v>
      </c>
      <c r="G188" s="89">
        <f>1011.094*2-900</f>
        <v>1122.1880000000001</v>
      </c>
      <c r="H188" s="99" t="s">
        <v>942</v>
      </c>
      <c r="I188" s="99" t="s">
        <v>943</v>
      </c>
    </row>
    <row r="189" spans="1:9">
      <c r="A189" s="85" t="s">
        <v>1008</v>
      </c>
      <c r="B189" s="86" t="s">
        <v>1009</v>
      </c>
      <c r="C189" s="85"/>
      <c r="D189" s="81"/>
      <c r="E189" s="87">
        <f>E190</f>
        <v>8.1000000000000003E-2</v>
      </c>
      <c r="F189" s="101">
        <f t="shared" ref="F189:G189" si="30">F190</f>
        <v>65</v>
      </c>
      <c r="G189" s="87">
        <f t="shared" si="30"/>
        <v>1323.77</v>
      </c>
      <c r="H189" s="95"/>
      <c r="I189" s="96"/>
    </row>
    <row r="190" spans="1:9" ht="46.8">
      <c r="A190" s="85"/>
      <c r="B190" s="99" t="s">
        <v>946</v>
      </c>
      <c r="C190" s="81">
        <v>2023</v>
      </c>
      <c r="D190" s="81">
        <v>0.4</v>
      </c>
      <c r="E190" s="89">
        <v>8.1000000000000003E-2</v>
      </c>
      <c r="F190" s="102">
        <v>65</v>
      </c>
      <c r="G190" s="89">
        <f>1323.77</f>
        <v>1323.77</v>
      </c>
      <c r="H190" s="99" t="s">
        <v>948</v>
      </c>
      <c r="I190" s="99" t="s">
        <v>842</v>
      </c>
    </row>
    <row r="191" spans="1:9">
      <c r="A191" s="85" t="s">
        <v>1010</v>
      </c>
      <c r="B191" s="86" t="s">
        <v>1011</v>
      </c>
      <c r="C191" s="85"/>
      <c r="D191" s="81"/>
      <c r="E191" s="87">
        <f>SUM(E192:E193)</f>
        <v>4.3999999999999997E-2</v>
      </c>
      <c r="F191" s="101">
        <f>SUM(F192:F193)</f>
        <v>300</v>
      </c>
      <c r="G191" s="87">
        <f t="shared" ref="G191" si="31">SUM(G192:G193)</f>
        <v>688.29200000000003</v>
      </c>
      <c r="H191" s="95"/>
      <c r="I191" s="96"/>
    </row>
    <row r="192" spans="1:9" ht="46.8">
      <c r="A192" s="85"/>
      <c r="B192" s="99" t="s">
        <v>951</v>
      </c>
      <c r="C192" s="81">
        <v>2023</v>
      </c>
      <c r="D192" s="81">
        <v>6</v>
      </c>
      <c r="E192" s="89">
        <v>2.1999999999999999E-2</v>
      </c>
      <c r="F192" s="102">
        <v>150</v>
      </c>
      <c r="G192" s="89">
        <f>172.073*2</f>
        <v>344.14600000000002</v>
      </c>
      <c r="H192" s="99" t="s">
        <v>952</v>
      </c>
      <c r="I192" s="104" t="s">
        <v>741</v>
      </c>
    </row>
    <row r="193" spans="1:9" ht="46.8">
      <c r="A193" s="85"/>
      <c r="B193" s="99" t="s">
        <v>953</v>
      </c>
      <c r="C193" s="81">
        <v>2023</v>
      </c>
      <c r="D193" s="81">
        <v>6</v>
      </c>
      <c r="E193" s="89">
        <v>2.1999999999999999E-2</v>
      </c>
      <c r="F193" s="102">
        <v>150</v>
      </c>
      <c r="G193" s="89">
        <f>172.073*2</f>
        <v>344.14600000000002</v>
      </c>
      <c r="H193" s="99" t="s">
        <v>952</v>
      </c>
      <c r="I193" s="104" t="s">
        <v>741</v>
      </c>
    </row>
    <row r="194" spans="1:9">
      <c r="A194" s="85" t="s">
        <v>190</v>
      </c>
      <c r="B194" s="86" t="s">
        <v>1012</v>
      </c>
      <c r="C194" s="85"/>
      <c r="D194" s="81"/>
      <c r="E194" s="87">
        <f>SUM(E195:E196)</f>
        <v>0.40739999999999998</v>
      </c>
      <c r="F194" s="101">
        <f t="shared" ref="F194:G194" si="32">SUM(F195:F196)</f>
        <v>165</v>
      </c>
      <c r="G194" s="87">
        <f t="shared" si="32"/>
        <v>3662.3389999999999</v>
      </c>
      <c r="H194" s="95"/>
      <c r="I194" s="96"/>
    </row>
    <row r="195" spans="1:9" s="105" customFormat="1" ht="46.8">
      <c r="A195" s="85"/>
      <c r="B195" s="99" t="s">
        <v>959</v>
      </c>
      <c r="C195" s="81">
        <v>2023</v>
      </c>
      <c r="D195" s="81">
        <v>6</v>
      </c>
      <c r="E195" s="89">
        <v>0.108</v>
      </c>
      <c r="F195" s="102">
        <v>150</v>
      </c>
      <c r="G195" s="89">
        <v>1283.0519999999999</v>
      </c>
      <c r="H195" s="99" t="s">
        <v>960</v>
      </c>
      <c r="I195" s="104" t="s">
        <v>961</v>
      </c>
    </row>
    <row r="196" spans="1:9" s="105" customFormat="1" ht="46.8">
      <c r="A196" s="85"/>
      <c r="B196" s="99" t="s">
        <v>962</v>
      </c>
      <c r="C196" s="81">
        <v>2023</v>
      </c>
      <c r="D196" s="81">
        <v>6</v>
      </c>
      <c r="E196" s="89">
        <v>0.2994</v>
      </c>
      <c r="F196" s="102">
        <v>15</v>
      </c>
      <c r="G196" s="89">
        <v>2379.2869999999998</v>
      </c>
      <c r="H196" s="99" t="s">
        <v>963</v>
      </c>
      <c r="I196" s="104" t="s">
        <v>735</v>
      </c>
    </row>
    <row r="197" spans="1:9">
      <c r="A197" s="85" t="s">
        <v>1013</v>
      </c>
      <c r="B197" s="86" t="s">
        <v>1014</v>
      </c>
      <c r="C197" s="85"/>
      <c r="D197" s="81"/>
      <c r="E197" s="87">
        <f>SUM(E198:E199)</f>
        <v>0.29580000000000001</v>
      </c>
      <c r="F197" s="101">
        <f t="shared" ref="F197:G197" si="33">SUM(F198:F199)</f>
        <v>113</v>
      </c>
      <c r="G197" s="87">
        <f t="shared" si="33"/>
        <v>6759.0930000000008</v>
      </c>
      <c r="H197" s="95"/>
      <c r="I197" s="96"/>
    </row>
    <row r="198" spans="1:9" s="105" customFormat="1" ht="46.8">
      <c r="A198" s="85"/>
      <c r="B198" s="99" t="s">
        <v>969</v>
      </c>
      <c r="C198" s="81">
        <v>2023</v>
      </c>
      <c r="D198" s="81">
        <v>6</v>
      </c>
      <c r="E198" s="89">
        <v>4.2000000000000003E-2</v>
      </c>
      <c r="F198" s="102">
        <v>98</v>
      </c>
      <c r="G198" s="89">
        <f>651.826+350.426</f>
        <v>1002.252</v>
      </c>
      <c r="H198" s="99" t="s">
        <v>970</v>
      </c>
      <c r="I198" s="99" t="s">
        <v>971</v>
      </c>
    </row>
    <row r="199" spans="1:9" s="105" customFormat="1" ht="46.8">
      <c r="A199" s="85"/>
      <c r="B199" s="99" t="s">
        <v>972</v>
      </c>
      <c r="C199" s="81">
        <v>2023</v>
      </c>
      <c r="D199" s="81">
        <v>6</v>
      </c>
      <c r="E199" s="89">
        <v>0.25380000000000003</v>
      </c>
      <c r="F199" s="102">
        <v>15</v>
      </c>
      <c r="G199" s="89">
        <f>6016.841-260</f>
        <v>5756.8410000000003</v>
      </c>
      <c r="H199" s="99" t="s">
        <v>973</v>
      </c>
      <c r="I199" s="99" t="s">
        <v>773</v>
      </c>
    </row>
    <row r="200" spans="1:9">
      <c r="A200" s="85" t="s">
        <v>148</v>
      </c>
      <c r="B200" s="86" t="s">
        <v>1015</v>
      </c>
      <c r="C200" s="85"/>
      <c r="D200" s="81"/>
      <c r="E200" s="87">
        <f>SUM(E201:E204)</f>
        <v>0.13100000000000001</v>
      </c>
      <c r="F200" s="101">
        <f t="shared" ref="F200:G200" si="34">SUM(F201:F204)</f>
        <v>1909</v>
      </c>
      <c r="G200" s="87">
        <f t="shared" si="34"/>
        <v>1410.2460000000001</v>
      </c>
      <c r="H200" s="95"/>
      <c r="I200" s="96"/>
    </row>
    <row r="201" spans="1:9" s="105" customFormat="1" ht="46.8">
      <c r="A201" s="85"/>
      <c r="B201" s="99" t="s">
        <v>978</v>
      </c>
      <c r="C201" s="81">
        <v>2023</v>
      </c>
      <c r="D201" s="81">
        <v>6</v>
      </c>
      <c r="E201" s="89">
        <v>1.2E-2</v>
      </c>
      <c r="F201" s="102">
        <v>622</v>
      </c>
      <c r="G201" s="89">
        <v>188.55099999999999</v>
      </c>
      <c r="H201" s="99" t="s">
        <v>979</v>
      </c>
      <c r="I201" s="104" t="s">
        <v>977</v>
      </c>
    </row>
    <row r="202" spans="1:9" s="105" customFormat="1" ht="46.8">
      <c r="A202" s="85"/>
      <c r="B202" s="99" t="s">
        <v>980</v>
      </c>
      <c r="C202" s="81">
        <v>2023</v>
      </c>
      <c r="D202" s="81">
        <v>6</v>
      </c>
      <c r="E202" s="89">
        <v>0.03</v>
      </c>
      <c r="F202" s="102">
        <v>636</v>
      </c>
      <c r="G202" s="89">
        <v>263.12799999999999</v>
      </c>
      <c r="H202" s="99" t="s">
        <v>981</v>
      </c>
      <c r="I202" s="99" t="s">
        <v>908</v>
      </c>
    </row>
    <row r="203" spans="1:9" s="105" customFormat="1" ht="46.8">
      <c r="A203" s="85"/>
      <c r="B203" s="99" t="s">
        <v>982</v>
      </c>
      <c r="C203" s="81">
        <v>2023</v>
      </c>
      <c r="D203" s="81">
        <v>6</v>
      </c>
      <c r="E203" s="89">
        <v>0.03</v>
      </c>
      <c r="F203" s="102">
        <v>636</v>
      </c>
      <c r="G203" s="89">
        <v>263.12799999999999</v>
      </c>
      <c r="H203" s="99" t="s">
        <v>983</v>
      </c>
      <c r="I203" s="99" t="s">
        <v>908</v>
      </c>
    </row>
    <row r="204" spans="1:9" ht="46.8">
      <c r="A204" s="85"/>
      <c r="B204" s="106" t="s">
        <v>984</v>
      </c>
      <c r="C204" s="81">
        <v>2023</v>
      </c>
      <c r="D204" s="81">
        <v>6</v>
      </c>
      <c r="E204" s="107">
        <v>5.8999999999999997E-2</v>
      </c>
      <c r="F204" s="108">
        <v>15</v>
      </c>
      <c r="G204" s="109">
        <v>695.43899999999996</v>
      </c>
      <c r="H204" s="110" t="s">
        <v>185</v>
      </c>
      <c r="I204" s="81" t="s">
        <v>985</v>
      </c>
    </row>
    <row r="205" spans="1:9">
      <c r="A205" s="85" t="s">
        <v>149</v>
      </c>
      <c r="B205" s="86" t="s">
        <v>1016</v>
      </c>
      <c r="C205" s="85"/>
      <c r="D205" s="81"/>
      <c r="E205" s="87">
        <f>E206</f>
        <v>9.7000000000000003E-2</v>
      </c>
      <c r="F205" s="87">
        <f t="shared" ref="F205:G205" si="35">F206</f>
        <v>15</v>
      </c>
      <c r="G205" s="87">
        <f t="shared" si="35"/>
        <v>2852.922</v>
      </c>
      <c r="H205" s="95"/>
      <c r="I205" s="96"/>
    </row>
    <row r="206" spans="1:9" s="105" customFormat="1" ht="31.2">
      <c r="A206" s="85"/>
      <c r="B206" s="99" t="s">
        <v>987</v>
      </c>
      <c r="C206" s="81">
        <v>2023</v>
      </c>
      <c r="D206" s="81">
        <v>6</v>
      </c>
      <c r="E206" s="89">
        <v>9.7000000000000003E-2</v>
      </c>
      <c r="F206" s="102">
        <v>15</v>
      </c>
      <c r="G206" s="89">
        <f>1426.461*2</f>
        <v>2852.922</v>
      </c>
      <c r="H206" s="99" t="s">
        <v>988</v>
      </c>
      <c r="I206" s="104" t="s">
        <v>743</v>
      </c>
    </row>
    <row r="207" spans="1:9">
      <c r="A207" s="85" t="s">
        <v>149</v>
      </c>
      <c r="B207" s="86" t="s">
        <v>1017</v>
      </c>
      <c r="C207" s="85"/>
      <c r="D207" s="81"/>
      <c r="E207" s="87">
        <f>E208</f>
        <v>8.7800000000000003E-2</v>
      </c>
      <c r="F207" s="87">
        <f t="shared" ref="F207:G207" si="36">F208</f>
        <v>150</v>
      </c>
      <c r="G207" s="87">
        <f t="shared" si="36"/>
        <v>3226.7191399999997</v>
      </c>
      <c r="H207" s="95"/>
      <c r="I207" s="96"/>
    </row>
    <row r="208" spans="1:9" ht="62.4">
      <c r="B208" s="99" t="s">
        <v>989</v>
      </c>
      <c r="C208" s="81">
        <v>2023</v>
      </c>
      <c r="D208" s="81">
        <v>0.4</v>
      </c>
      <c r="E208" s="81">
        <v>8.7800000000000003E-2</v>
      </c>
      <c r="F208" s="102">
        <v>150</v>
      </c>
      <c r="G208" s="89">
        <f>3751.999*0.86</f>
        <v>3226.7191399999997</v>
      </c>
      <c r="H208" s="99" t="s">
        <v>990</v>
      </c>
      <c r="I208" s="99" t="s">
        <v>991</v>
      </c>
    </row>
    <row r="209" spans="1:9">
      <c r="A209" s="85" t="s">
        <v>152</v>
      </c>
      <c r="B209" s="86" t="s">
        <v>1018</v>
      </c>
      <c r="C209" s="85"/>
      <c r="D209" s="81"/>
      <c r="E209" s="87">
        <f>E210</f>
        <v>0.20250000000000001</v>
      </c>
      <c r="F209" s="87">
        <f t="shared" ref="F209:G209" si="37">F210</f>
        <v>150</v>
      </c>
      <c r="G209" s="87">
        <f t="shared" si="37"/>
        <v>3847.3060480000004</v>
      </c>
      <c r="H209" s="95"/>
      <c r="I209" s="96"/>
    </row>
    <row r="210" spans="1:9" ht="46.8">
      <c r="A210" s="85"/>
      <c r="B210" s="99" t="s">
        <v>993</v>
      </c>
      <c r="C210" s="81">
        <v>2023</v>
      </c>
      <c r="D210" s="81">
        <v>0.4</v>
      </c>
      <c r="E210" s="89">
        <v>0.20250000000000001</v>
      </c>
      <c r="F210" s="102">
        <v>150</v>
      </c>
      <c r="G210" s="89">
        <f>4401.952*0.874</f>
        <v>3847.3060480000004</v>
      </c>
      <c r="H210" s="99" t="s">
        <v>994</v>
      </c>
      <c r="I210" s="104" t="s">
        <v>995</v>
      </c>
    </row>
    <row r="211" spans="1:9">
      <c r="A211" s="85" t="s">
        <v>152</v>
      </c>
      <c r="B211" s="86" t="s">
        <v>1018</v>
      </c>
      <c r="C211" s="85"/>
      <c r="D211" s="81"/>
      <c r="E211" s="87">
        <f>SUM(E212:E213)</f>
        <v>0.88100000000000001</v>
      </c>
      <c r="F211" s="87">
        <f t="shared" ref="F211:G211" si="38">SUM(F212:F213)</f>
        <v>110</v>
      </c>
      <c r="G211" s="87">
        <f t="shared" si="38"/>
        <v>16498.177</v>
      </c>
      <c r="H211" s="95"/>
      <c r="I211" s="96"/>
    </row>
    <row r="212" spans="1:9" s="105" customFormat="1" ht="46.8">
      <c r="A212" s="85"/>
      <c r="B212" s="99" t="s">
        <v>996</v>
      </c>
      <c r="C212" s="81">
        <v>2023</v>
      </c>
      <c r="D212" s="81">
        <v>6</v>
      </c>
      <c r="E212" s="89">
        <v>0.14599999999999999</v>
      </c>
      <c r="F212" s="102">
        <v>95</v>
      </c>
      <c r="G212" s="89">
        <v>2622.4259999999999</v>
      </c>
      <c r="H212" s="99" t="s">
        <v>997</v>
      </c>
      <c r="I212" s="99" t="s">
        <v>789</v>
      </c>
    </row>
    <row r="213" spans="1:9" ht="46.8">
      <c r="A213" s="85"/>
      <c r="B213" s="106" t="s">
        <v>998</v>
      </c>
      <c r="C213" s="85">
        <v>2023</v>
      </c>
      <c r="D213" s="81">
        <v>6</v>
      </c>
      <c r="E213" s="89">
        <v>0.73499999999999999</v>
      </c>
      <c r="F213" s="108">
        <v>15</v>
      </c>
      <c r="G213" s="109">
        <v>13875.751</v>
      </c>
      <c r="H213" s="110" t="s">
        <v>999</v>
      </c>
      <c r="I213" s="81" t="s">
        <v>985</v>
      </c>
    </row>
    <row r="214" spans="1:9">
      <c r="A214" s="85">
        <v>3</v>
      </c>
      <c r="B214" s="86" t="s">
        <v>69</v>
      </c>
      <c r="C214" s="85" t="s">
        <v>34</v>
      </c>
      <c r="D214" s="81" t="s">
        <v>34</v>
      </c>
      <c r="E214" s="87">
        <v>0</v>
      </c>
      <c r="F214" s="101">
        <v>0</v>
      </c>
      <c r="G214" s="87">
        <v>0</v>
      </c>
      <c r="H214" s="85" t="s">
        <v>34</v>
      </c>
      <c r="I214" s="88" t="s">
        <v>34</v>
      </c>
    </row>
    <row r="215" spans="1:9" ht="156">
      <c r="A215" s="81" t="s">
        <v>70</v>
      </c>
      <c r="B215" s="82" t="s">
        <v>153</v>
      </c>
      <c r="C215" s="81" t="s">
        <v>34</v>
      </c>
      <c r="D215" s="81" t="s">
        <v>34</v>
      </c>
      <c r="E215" s="89" t="s">
        <v>34</v>
      </c>
      <c r="F215" s="102" t="s">
        <v>34</v>
      </c>
      <c r="G215" s="89" t="s">
        <v>34</v>
      </c>
      <c r="H215" s="81" t="s">
        <v>34</v>
      </c>
      <c r="I215" s="91" t="s">
        <v>34</v>
      </c>
    </row>
    <row r="216" spans="1:9" ht="78">
      <c r="A216" s="81" t="s">
        <v>71</v>
      </c>
      <c r="B216" s="82" t="s">
        <v>154</v>
      </c>
      <c r="C216" s="81"/>
      <c r="D216" s="81"/>
      <c r="E216" s="89"/>
      <c r="F216" s="102"/>
      <c r="G216" s="89"/>
      <c r="H216" s="93"/>
      <c r="I216" s="94"/>
    </row>
    <row r="217" spans="1:9" ht="78">
      <c r="A217" s="81" t="s">
        <v>155</v>
      </c>
      <c r="B217" s="82" t="s">
        <v>156</v>
      </c>
      <c r="C217" s="81"/>
      <c r="D217" s="81"/>
      <c r="E217" s="89"/>
      <c r="F217" s="102"/>
      <c r="G217" s="89"/>
      <c r="H217" s="93"/>
      <c r="I217" s="94"/>
    </row>
    <row r="218" spans="1:9">
      <c r="A218" s="81" t="s">
        <v>72</v>
      </c>
      <c r="B218" s="82" t="s">
        <v>73</v>
      </c>
      <c r="C218" s="81"/>
      <c r="D218" s="81"/>
      <c r="E218" s="89"/>
      <c r="F218" s="102"/>
      <c r="G218" s="89"/>
      <c r="H218" s="93"/>
      <c r="I218" s="94"/>
    </row>
    <row r="219" spans="1:9" ht="31.2">
      <c r="A219" s="85">
        <v>4</v>
      </c>
      <c r="B219" s="86" t="s">
        <v>191</v>
      </c>
      <c r="C219" s="85" t="s">
        <v>34</v>
      </c>
      <c r="D219" s="81" t="s">
        <v>34</v>
      </c>
      <c r="E219" s="87">
        <f>E224+E228+E231+E240+E242+E245</f>
        <v>17</v>
      </c>
      <c r="F219" s="101">
        <f t="shared" ref="F219:G219" si="39">F224+F228+F231+F240+F242+F245</f>
        <v>2302</v>
      </c>
      <c r="G219" s="87">
        <f t="shared" si="39"/>
        <v>45005.767379999998</v>
      </c>
      <c r="H219" s="85" t="s">
        <v>34</v>
      </c>
      <c r="I219" s="88" t="s">
        <v>34</v>
      </c>
    </row>
    <row r="220" spans="1:9" ht="78">
      <c r="A220" s="81" t="s">
        <v>74</v>
      </c>
      <c r="B220" s="82" t="s">
        <v>157</v>
      </c>
      <c r="C220" s="81" t="s">
        <v>34</v>
      </c>
      <c r="D220" s="81" t="s">
        <v>34</v>
      </c>
      <c r="E220" s="89" t="s">
        <v>34</v>
      </c>
      <c r="F220" s="102" t="s">
        <v>34</v>
      </c>
      <c r="G220" s="89" t="s">
        <v>34</v>
      </c>
      <c r="H220" s="81" t="s">
        <v>34</v>
      </c>
      <c r="I220" s="91" t="s">
        <v>34</v>
      </c>
    </row>
    <row r="221" spans="1:9" ht="31.2">
      <c r="A221" s="81" t="s">
        <v>75</v>
      </c>
      <c r="B221" s="82" t="s">
        <v>76</v>
      </c>
      <c r="C221" s="81" t="s">
        <v>34</v>
      </c>
      <c r="D221" s="81" t="s">
        <v>34</v>
      </c>
      <c r="E221" s="89" t="s">
        <v>34</v>
      </c>
      <c r="F221" s="102" t="s">
        <v>34</v>
      </c>
      <c r="G221" s="89" t="s">
        <v>34</v>
      </c>
      <c r="H221" s="81" t="s">
        <v>34</v>
      </c>
      <c r="I221" s="91" t="s">
        <v>34</v>
      </c>
    </row>
    <row r="222" spans="1:9" ht="189" customHeight="1">
      <c r="A222" s="81" t="s">
        <v>77</v>
      </c>
      <c r="B222" s="82" t="s">
        <v>192</v>
      </c>
      <c r="C222" s="81"/>
      <c r="D222" s="81"/>
      <c r="E222" s="89"/>
      <c r="F222" s="102"/>
      <c r="G222" s="89"/>
      <c r="H222" s="93"/>
      <c r="I222" s="94"/>
    </row>
    <row r="223" spans="1:9" ht="46.8">
      <c r="A223" s="81" t="s">
        <v>158</v>
      </c>
      <c r="B223" s="112" t="s">
        <v>193</v>
      </c>
      <c r="C223" s="81"/>
      <c r="D223" s="81"/>
      <c r="E223" s="89"/>
      <c r="F223" s="102"/>
      <c r="G223" s="89"/>
      <c r="H223" s="93"/>
      <c r="I223" s="94"/>
    </row>
    <row r="224" spans="1:9">
      <c r="A224" s="85" t="s">
        <v>194</v>
      </c>
      <c r="B224" s="86" t="s">
        <v>195</v>
      </c>
      <c r="C224" s="85"/>
      <c r="D224" s="81"/>
      <c r="E224" s="113">
        <f>SUM(E225:E227)</f>
        <v>3</v>
      </c>
      <c r="F224" s="101">
        <f t="shared" ref="F224:G224" si="40">SUM(F225:F227)</f>
        <v>180</v>
      </c>
      <c r="G224" s="87">
        <f t="shared" si="40"/>
        <v>3608.2786300000002</v>
      </c>
      <c r="H224" s="95"/>
      <c r="I224" s="96"/>
    </row>
    <row r="225" spans="1:9" ht="45.75" customHeight="1">
      <c r="A225" s="85"/>
      <c r="B225" s="106" t="s">
        <v>1019</v>
      </c>
      <c r="C225" s="85">
        <v>2023</v>
      </c>
      <c r="D225" s="81"/>
      <c r="E225" s="114">
        <v>1</v>
      </c>
      <c r="F225" s="108">
        <v>15</v>
      </c>
      <c r="G225" s="115">
        <v>1257.671</v>
      </c>
      <c r="H225" s="110" t="s">
        <v>1020</v>
      </c>
      <c r="I225" s="116" t="s">
        <v>743</v>
      </c>
    </row>
    <row r="226" spans="1:9" ht="45.75" customHeight="1">
      <c r="A226" s="85"/>
      <c r="B226" s="106" t="s">
        <v>1021</v>
      </c>
      <c r="C226" s="85">
        <v>2023</v>
      </c>
      <c r="D226" s="81"/>
      <c r="E226" s="114">
        <v>1</v>
      </c>
      <c r="F226" s="108">
        <v>150</v>
      </c>
      <c r="G226" s="115">
        <v>1257.5450000000001</v>
      </c>
      <c r="H226" s="110" t="s">
        <v>1022</v>
      </c>
      <c r="I226" s="116" t="s">
        <v>741</v>
      </c>
    </row>
    <row r="227" spans="1:9" ht="45.75" customHeight="1">
      <c r="A227" s="85"/>
      <c r="B227" s="106" t="s">
        <v>1023</v>
      </c>
      <c r="C227" s="85">
        <v>2023</v>
      </c>
      <c r="D227" s="81"/>
      <c r="E227" s="114">
        <v>1</v>
      </c>
      <c r="F227" s="108">
        <v>15</v>
      </c>
      <c r="G227" s="115">
        <v>1093.0626299999999</v>
      </c>
      <c r="H227" s="110" t="s">
        <v>1024</v>
      </c>
      <c r="I227" s="116" t="s">
        <v>787</v>
      </c>
    </row>
    <row r="228" spans="1:9">
      <c r="A228" s="85" t="s">
        <v>1025</v>
      </c>
      <c r="B228" s="86" t="s">
        <v>1026</v>
      </c>
      <c r="C228" s="85"/>
      <c r="D228" s="81"/>
      <c r="E228" s="113">
        <f>SUM(E229:E230)</f>
        <v>2</v>
      </c>
      <c r="F228" s="101">
        <f t="shared" ref="F228:G228" si="41">SUM(F229:F230)</f>
        <v>165</v>
      </c>
      <c r="G228" s="87">
        <f t="shared" si="41"/>
        <v>2503.6459999999997</v>
      </c>
      <c r="H228" s="95"/>
      <c r="I228" s="96"/>
    </row>
    <row r="229" spans="1:9" ht="45.75" customHeight="1">
      <c r="A229" s="85"/>
      <c r="B229" s="106" t="s">
        <v>1027</v>
      </c>
      <c r="C229" s="85">
        <v>2023</v>
      </c>
      <c r="D229" s="81"/>
      <c r="E229" s="114">
        <v>1</v>
      </c>
      <c r="F229" s="108">
        <v>150</v>
      </c>
      <c r="G229" s="115">
        <v>1245.479</v>
      </c>
      <c r="H229" s="110" t="s">
        <v>1028</v>
      </c>
      <c r="I229" s="116" t="s">
        <v>1029</v>
      </c>
    </row>
    <row r="230" spans="1:9" ht="45.75" customHeight="1">
      <c r="A230" s="85"/>
      <c r="B230" s="106" t="s">
        <v>1030</v>
      </c>
      <c r="C230" s="85">
        <v>2023</v>
      </c>
      <c r="D230" s="81"/>
      <c r="E230" s="114">
        <v>1</v>
      </c>
      <c r="F230" s="108">
        <v>15</v>
      </c>
      <c r="G230" s="115">
        <v>1258.1669999999999</v>
      </c>
      <c r="H230" s="110" t="s">
        <v>1031</v>
      </c>
      <c r="I230" s="116" t="s">
        <v>769</v>
      </c>
    </row>
    <row r="231" spans="1:9">
      <c r="A231" s="85" t="s">
        <v>159</v>
      </c>
      <c r="B231" s="86" t="s">
        <v>160</v>
      </c>
      <c r="C231" s="85"/>
      <c r="D231" s="81"/>
      <c r="E231" s="113">
        <f>SUM(E232:E239)</f>
        <v>8</v>
      </c>
      <c r="F231" s="101">
        <f t="shared" ref="F231:G231" si="42">SUM(F232:F239)</f>
        <v>329</v>
      </c>
      <c r="G231" s="87">
        <f t="shared" si="42"/>
        <v>12320.007509999998</v>
      </c>
      <c r="H231" s="95"/>
      <c r="I231" s="96"/>
    </row>
    <row r="232" spans="1:9" ht="58.5" customHeight="1">
      <c r="A232" s="85"/>
      <c r="B232" s="106" t="s">
        <v>1032</v>
      </c>
      <c r="C232" s="85">
        <v>2023</v>
      </c>
      <c r="D232" s="81"/>
      <c r="E232" s="98">
        <v>1</v>
      </c>
      <c r="F232" s="108">
        <v>15</v>
      </c>
      <c r="G232" s="109">
        <v>1475.45</v>
      </c>
      <c r="H232" s="110" t="s">
        <v>1033</v>
      </c>
      <c r="I232" s="81" t="s">
        <v>758</v>
      </c>
    </row>
    <row r="233" spans="1:9" ht="58.5" customHeight="1">
      <c r="A233" s="85"/>
      <c r="B233" s="106" t="s">
        <v>1034</v>
      </c>
      <c r="C233" s="85">
        <v>2023</v>
      </c>
      <c r="D233" s="81"/>
      <c r="E233" s="98">
        <v>1</v>
      </c>
      <c r="F233" s="108">
        <v>150</v>
      </c>
      <c r="G233" s="109">
        <v>1610.152</v>
      </c>
      <c r="H233" s="110" t="s">
        <v>1035</v>
      </c>
      <c r="I233" s="81" t="s">
        <v>961</v>
      </c>
    </row>
    <row r="234" spans="1:9" ht="58.5" customHeight="1">
      <c r="A234" s="85"/>
      <c r="B234" s="106" t="s">
        <v>1036</v>
      </c>
      <c r="C234" s="85">
        <v>2023</v>
      </c>
      <c r="D234" s="81"/>
      <c r="E234" s="98">
        <v>1</v>
      </c>
      <c r="F234" s="108">
        <v>15</v>
      </c>
      <c r="G234" s="109">
        <v>1583.261</v>
      </c>
      <c r="H234" s="110" t="s">
        <v>1035</v>
      </c>
      <c r="I234" s="81" t="s">
        <v>1037</v>
      </c>
    </row>
    <row r="235" spans="1:9" ht="58.5" customHeight="1">
      <c r="A235" s="85"/>
      <c r="B235" s="106" t="s">
        <v>1038</v>
      </c>
      <c r="C235" s="85">
        <v>2023</v>
      </c>
      <c r="D235" s="81"/>
      <c r="E235" s="98">
        <v>1</v>
      </c>
      <c r="F235" s="108">
        <v>15</v>
      </c>
      <c r="G235" s="109">
        <v>1461.4</v>
      </c>
      <c r="H235" s="110" t="s">
        <v>1035</v>
      </c>
      <c r="I235" s="81" t="s">
        <v>735</v>
      </c>
    </row>
    <row r="236" spans="1:9" ht="58.5" customHeight="1">
      <c r="A236" s="85"/>
      <c r="B236" s="106" t="s">
        <v>1039</v>
      </c>
      <c r="C236" s="85">
        <v>2023</v>
      </c>
      <c r="D236" s="81"/>
      <c r="E236" s="98">
        <v>1</v>
      </c>
      <c r="F236" s="108">
        <v>15</v>
      </c>
      <c r="G236" s="109">
        <v>1465.5429999999999</v>
      </c>
      <c r="H236" s="110" t="s">
        <v>1040</v>
      </c>
      <c r="I236" s="81" t="s">
        <v>773</v>
      </c>
    </row>
    <row r="237" spans="1:9" ht="58.5" customHeight="1">
      <c r="A237" s="85"/>
      <c r="B237" s="106" t="s">
        <v>1041</v>
      </c>
      <c r="C237" s="85">
        <v>2023</v>
      </c>
      <c r="D237" s="81"/>
      <c r="E237" s="98">
        <v>1</v>
      </c>
      <c r="F237" s="108">
        <v>6</v>
      </c>
      <c r="G237" s="109">
        <v>1561.376</v>
      </c>
      <c r="H237" s="110" t="s">
        <v>1042</v>
      </c>
      <c r="I237" s="81" t="s">
        <v>775</v>
      </c>
    </row>
    <row r="238" spans="1:9" ht="58.5" customHeight="1">
      <c r="A238" s="85"/>
      <c r="B238" s="106" t="s">
        <v>1043</v>
      </c>
      <c r="C238" s="85">
        <v>2023</v>
      </c>
      <c r="D238" s="81"/>
      <c r="E238" s="98">
        <v>1</v>
      </c>
      <c r="F238" s="108">
        <v>98</v>
      </c>
      <c r="G238" s="109">
        <v>1582.3657499999999</v>
      </c>
      <c r="H238" s="110" t="s">
        <v>1035</v>
      </c>
      <c r="I238" s="81" t="s">
        <v>971</v>
      </c>
    </row>
    <row r="239" spans="1:9" ht="58.5" customHeight="1">
      <c r="A239" s="85"/>
      <c r="B239" s="106" t="s">
        <v>1044</v>
      </c>
      <c r="C239" s="85">
        <v>2023</v>
      </c>
      <c r="D239" s="81"/>
      <c r="E239" s="98">
        <v>1</v>
      </c>
      <c r="F239" s="108">
        <v>15</v>
      </c>
      <c r="G239" s="109">
        <v>1580.45976</v>
      </c>
      <c r="H239" s="110" t="s">
        <v>1045</v>
      </c>
      <c r="I239" s="81" t="s">
        <v>764</v>
      </c>
    </row>
    <row r="240" spans="1:9">
      <c r="A240" s="85" t="s">
        <v>1046</v>
      </c>
      <c r="B240" s="86" t="s">
        <v>1047</v>
      </c>
      <c r="C240" s="85"/>
      <c r="D240" s="81"/>
      <c r="E240" s="113">
        <f>E241</f>
        <v>1</v>
      </c>
      <c r="F240" s="101">
        <f t="shared" ref="F240:G240" si="43">F241</f>
        <v>15</v>
      </c>
      <c r="G240" s="87">
        <f t="shared" si="43"/>
        <v>3490.0673000000002</v>
      </c>
      <c r="H240" s="95"/>
      <c r="I240" s="96"/>
    </row>
    <row r="241" spans="1:9" ht="62.25" customHeight="1">
      <c r="A241" s="85"/>
      <c r="B241" s="106" t="s">
        <v>1048</v>
      </c>
      <c r="C241" s="85">
        <v>2023</v>
      </c>
      <c r="D241" s="81"/>
      <c r="E241" s="98">
        <v>1</v>
      </c>
      <c r="F241" s="108">
        <v>15</v>
      </c>
      <c r="G241" s="109">
        <v>3490.0673000000002</v>
      </c>
      <c r="H241" s="110" t="s">
        <v>1049</v>
      </c>
      <c r="I241" s="81" t="s">
        <v>985</v>
      </c>
    </row>
    <row r="242" spans="1:9">
      <c r="A242" s="85" t="s">
        <v>162</v>
      </c>
      <c r="B242" s="86" t="s">
        <v>390</v>
      </c>
      <c r="C242" s="85"/>
      <c r="D242" s="81"/>
      <c r="E242" s="113">
        <f>SUM(E243:E244)</f>
        <v>2</v>
      </c>
      <c r="F242" s="101">
        <f t="shared" ref="F242:G242" si="44">SUM(F243:F244)</f>
        <v>1258</v>
      </c>
      <c r="G242" s="87">
        <f t="shared" si="44"/>
        <v>14906.51182</v>
      </c>
      <c r="H242" s="95"/>
      <c r="I242" s="96"/>
    </row>
    <row r="243" spans="1:9" ht="62.25" customHeight="1">
      <c r="A243" s="85"/>
      <c r="B243" s="106" t="s">
        <v>1050</v>
      </c>
      <c r="C243" s="85">
        <v>2023</v>
      </c>
      <c r="D243" s="81"/>
      <c r="E243" s="98">
        <v>1</v>
      </c>
      <c r="F243" s="108">
        <v>622</v>
      </c>
      <c r="G243" s="109">
        <v>6675.643</v>
      </c>
      <c r="H243" s="110" t="s">
        <v>1051</v>
      </c>
      <c r="I243" s="81" t="s">
        <v>977</v>
      </c>
    </row>
    <row r="244" spans="1:9" ht="62.25" customHeight="1">
      <c r="A244" s="85"/>
      <c r="B244" s="106" t="s">
        <v>1052</v>
      </c>
      <c r="C244" s="85">
        <v>2023</v>
      </c>
      <c r="D244" s="81"/>
      <c r="E244" s="98">
        <v>1</v>
      </c>
      <c r="F244" s="108">
        <v>636</v>
      </c>
      <c r="G244" s="109">
        <v>8230.8688199999997</v>
      </c>
      <c r="H244" s="110" t="s">
        <v>1051</v>
      </c>
      <c r="I244" s="81" t="s">
        <v>908</v>
      </c>
    </row>
    <row r="245" spans="1:9">
      <c r="A245" s="85" t="s">
        <v>163</v>
      </c>
      <c r="B245" s="86" t="s">
        <v>1053</v>
      </c>
      <c r="C245" s="85"/>
      <c r="D245" s="81"/>
      <c r="E245" s="113">
        <f>SUM(E246:E247)</f>
        <v>1</v>
      </c>
      <c r="F245" s="101">
        <f t="shared" ref="F245:G245" si="45">SUM(F246:F247)</f>
        <v>355</v>
      </c>
      <c r="G245" s="87">
        <f t="shared" si="45"/>
        <v>8177.25612</v>
      </c>
      <c r="H245" s="95"/>
      <c r="I245" s="96"/>
    </row>
    <row r="246" spans="1:9" ht="62.25" customHeight="1">
      <c r="A246" s="85"/>
      <c r="B246" s="106" t="s">
        <v>1054</v>
      </c>
      <c r="C246" s="85">
        <v>2023</v>
      </c>
      <c r="D246" s="81"/>
      <c r="E246" s="98">
        <v>1</v>
      </c>
      <c r="F246" s="108">
        <v>355</v>
      </c>
      <c r="G246" s="109">
        <v>8177.25612</v>
      </c>
      <c r="H246" s="110" t="s">
        <v>1055</v>
      </c>
      <c r="I246" s="81" t="s">
        <v>836</v>
      </c>
    </row>
    <row r="247" spans="1:9" ht="31.2">
      <c r="A247" s="81">
        <v>5</v>
      </c>
      <c r="B247" s="86" t="s">
        <v>199</v>
      </c>
      <c r="C247" s="81" t="s">
        <v>34</v>
      </c>
      <c r="D247" s="81" t="s">
        <v>34</v>
      </c>
      <c r="E247" s="89">
        <v>0</v>
      </c>
      <c r="F247" s="102">
        <v>0</v>
      </c>
      <c r="G247" s="89">
        <v>0</v>
      </c>
      <c r="H247" s="81" t="s">
        <v>34</v>
      </c>
      <c r="I247" s="91" t="s">
        <v>34</v>
      </c>
    </row>
    <row r="248" spans="1:9">
      <c r="A248" s="81" t="s">
        <v>78</v>
      </c>
      <c r="B248" s="82" t="s">
        <v>79</v>
      </c>
      <c r="C248" s="81" t="s">
        <v>34</v>
      </c>
      <c r="D248" s="81" t="s">
        <v>34</v>
      </c>
      <c r="E248" s="89" t="s">
        <v>34</v>
      </c>
      <c r="F248" s="102" t="s">
        <v>34</v>
      </c>
      <c r="G248" s="89" t="s">
        <v>34</v>
      </c>
      <c r="H248" s="81" t="s">
        <v>34</v>
      </c>
      <c r="I248" s="91" t="s">
        <v>34</v>
      </c>
    </row>
    <row r="249" spans="1:9" ht="31.2">
      <c r="A249" s="81" t="s">
        <v>80</v>
      </c>
      <c r="B249" s="91" t="s">
        <v>200</v>
      </c>
      <c r="C249" s="81" t="s">
        <v>34</v>
      </c>
      <c r="D249" s="81" t="s">
        <v>34</v>
      </c>
      <c r="E249" s="89" t="s">
        <v>34</v>
      </c>
      <c r="F249" s="102" t="s">
        <v>34</v>
      </c>
      <c r="G249" s="89" t="s">
        <v>34</v>
      </c>
      <c r="H249" s="81" t="s">
        <v>34</v>
      </c>
      <c r="I249" s="91" t="s">
        <v>34</v>
      </c>
    </row>
    <row r="250" spans="1:9" ht="173.25" customHeight="1">
      <c r="A250" s="81" t="s">
        <v>81</v>
      </c>
      <c r="B250" s="82" t="s">
        <v>201</v>
      </c>
      <c r="C250" s="81"/>
      <c r="D250" s="81"/>
      <c r="E250" s="89"/>
      <c r="F250" s="102"/>
      <c r="G250" s="89"/>
      <c r="H250" s="93"/>
      <c r="I250" s="94"/>
    </row>
    <row r="251" spans="1:9">
      <c r="A251" s="81" t="s">
        <v>72</v>
      </c>
      <c r="B251" s="82" t="s">
        <v>73</v>
      </c>
      <c r="C251" s="81"/>
      <c r="D251" s="81"/>
      <c r="E251" s="89"/>
      <c r="F251" s="102"/>
      <c r="G251" s="89"/>
      <c r="H251" s="93"/>
      <c r="I251" s="94"/>
    </row>
    <row r="252" spans="1:9" ht="46.8">
      <c r="A252" s="85">
        <v>6</v>
      </c>
      <c r="B252" s="86" t="s">
        <v>92</v>
      </c>
      <c r="C252" s="85" t="s">
        <v>34</v>
      </c>
      <c r="D252" s="81" t="s">
        <v>34</v>
      </c>
      <c r="E252" s="87">
        <v>0</v>
      </c>
      <c r="F252" s="101">
        <f>F253</f>
        <v>0</v>
      </c>
      <c r="G252" s="87">
        <f>G253</f>
        <v>0</v>
      </c>
      <c r="H252" s="85" t="s">
        <v>34</v>
      </c>
      <c r="I252" s="88" t="s">
        <v>34</v>
      </c>
    </row>
    <row r="253" spans="1:9" ht="46.8">
      <c r="A253" s="81" t="s">
        <v>82</v>
      </c>
      <c r="B253" s="117" t="s">
        <v>202</v>
      </c>
      <c r="C253" s="81"/>
      <c r="D253" s="81"/>
      <c r="E253" s="89"/>
      <c r="F253" s="102"/>
      <c r="G253" s="89"/>
      <c r="H253" s="103"/>
      <c r="I253" s="118"/>
    </row>
    <row r="254" spans="1:9" ht="140.4">
      <c r="A254" s="81" t="s">
        <v>164</v>
      </c>
      <c r="B254" s="117" t="s">
        <v>165</v>
      </c>
      <c r="C254" s="81"/>
      <c r="D254" s="81"/>
      <c r="E254" s="89"/>
      <c r="F254" s="102"/>
      <c r="G254" s="89"/>
      <c r="H254" s="103"/>
      <c r="I254" s="118"/>
    </row>
    <row r="255" spans="1:9">
      <c r="A255" s="81" t="s">
        <v>72</v>
      </c>
      <c r="B255" s="82" t="s">
        <v>73</v>
      </c>
      <c r="C255" s="81"/>
      <c r="D255" s="81"/>
      <c r="E255" s="89"/>
      <c r="F255" s="102"/>
      <c r="G255" s="89"/>
      <c r="H255" s="103"/>
      <c r="I255" s="118"/>
    </row>
    <row r="256" spans="1:9" ht="46.8">
      <c r="A256" s="85">
        <v>7</v>
      </c>
      <c r="B256" s="86" t="s">
        <v>93</v>
      </c>
      <c r="C256" s="85"/>
      <c r="D256" s="81"/>
      <c r="E256" s="113">
        <f>E259+E275+E330+E375</f>
        <v>113</v>
      </c>
      <c r="F256" s="113">
        <f>F259+F275+F330+F375</f>
        <v>7181.8</v>
      </c>
      <c r="G256" s="113">
        <f>G259+G275+G330+G375</f>
        <v>10658.614960000001</v>
      </c>
      <c r="H256" s="85"/>
      <c r="I256" s="88"/>
    </row>
    <row r="257" spans="1:9" ht="46.8">
      <c r="A257" s="81" t="s">
        <v>94</v>
      </c>
      <c r="B257" s="117" t="s">
        <v>95</v>
      </c>
      <c r="C257" s="81"/>
      <c r="D257" s="81"/>
      <c r="E257" s="89"/>
      <c r="F257" s="102"/>
      <c r="G257" s="89"/>
      <c r="H257" s="103"/>
      <c r="I257" s="118"/>
    </row>
    <row r="258" spans="1:9" ht="62.4">
      <c r="A258" s="81" t="s">
        <v>96</v>
      </c>
      <c r="B258" s="82" t="s">
        <v>97</v>
      </c>
      <c r="C258" s="81"/>
      <c r="D258" s="81"/>
      <c r="E258" s="89"/>
      <c r="F258" s="102"/>
      <c r="G258" s="89"/>
      <c r="H258" s="103"/>
      <c r="I258" s="118"/>
    </row>
    <row r="259" spans="1:9">
      <c r="A259" s="119" t="s">
        <v>166</v>
      </c>
      <c r="B259" s="86" t="s">
        <v>167</v>
      </c>
      <c r="C259" s="85"/>
      <c r="D259" s="81"/>
      <c r="E259" s="113">
        <f>SUM(E260:E274)</f>
        <v>15</v>
      </c>
      <c r="F259" s="113">
        <f t="shared" ref="F259:G259" si="46">SUM(F260:F274)</f>
        <v>82</v>
      </c>
      <c r="G259" s="87">
        <f t="shared" si="46"/>
        <v>499.99103000000002</v>
      </c>
      <c r="H259" s="120"/>
      <c r="I259" s="121"/>
    </row>
    <row r="260" spans="1:9" ht="44.25" customHeight="1">
      <c r="A260" s="122"/>
      <c r="B260" s="123" t="s">
        <v>1056</v>
      </c>
      <c r="C260" s="124">
        <v>2023</v>
      </c>
      <c r="D260" s="125">
        <v>0.4</v>
      </c>
      <c r="E260" s="98">
        <v>1</v>
      </c>
      <c r="F260" s="102">
        <v>5</v>
      </c>
      <c r="G260" s="115">
        <v>22.60031</v>
      </c>
      <c r="H260" s="99" t="s">
        <v>1057</v>
      </c>
      <c r="I260" s="123" t="s">
        <v>751</v>
      </c>
    </row>
    <row r="261" spans="1:9" ht="44.25" customHeight="1">
      <c r="A261" s="122"/>
      <c r="B261" s="123" t="s">
        <v>1058</v>
      </c>
      <c r="C261" s="124">
        <v>2023</v>
      </c>
      <c r="D261" s="125">
        <v>0.4</v>
      </c>
      <c r="E261" s="98">
        <v>1</v>
      </c>
      <c r="F261" s="102">
        <v>5</v>
      </c>
      <c r="G261" s="115">
        <v>35.491610000000001</v>
      </c>
      <c r="H261" s="99" t="s">
        <v>1059</v>
      </c>
      <c r="I261" s="123" t="s">
        <v>760</v>
      </c>
    </row>
    <row r="262" spans="1:9" ht="44.25" customHeight="1">
      <c r="A262" s="122"/>
      <c r="B262" s="123" t="s">
        <v>1060</v>
      </c>
      <c r="C262" s="124">
        <v>2023</v>
      </c>
      <c r="D262" s="125">
        <v>0.4</v>
      </c>
      <c r="E262" s="98">
        <v>1</v>
      </c>
      <c r="F262" s="102">
        <v>5</v>
      </c>
      <c r="G262" s="115">
        <v>22.393330000000002</v>
      </c>
      <c r="H262" s="99" t="s">
        <v>1061</v>
      </c>
      <c r="I262" s="123" t="s">
        <v>751</v>
      </c>
    </row>
    <row r="263" spans="1:9" ht="44.25" customHeight="1">
      <c r="A263" s="122"/>
      <c r="B263" s="123" t="s">
        <v>1062</v>
      </c>
      <c r="C263" s="124">
        <v>2023</v>
      </c>
      <c r="D263" s="125">
        <v>0.4</v>
      </c>
      <c r="E263" s="98">
        <v>1</v>
      </c>
      <c r="F263" s="102">
        <v>5</v>
      </c>
      <c r="G263" s="115">
        <v>35.491610000000001</v>
      </c>
      <c r="H263" s="99" t="s">
        <v>1063</v>
      </c>
      <c r="I263" s="123" t="s">
        <v>760</v>
      </c>
    </row>
    <row r="264" spans="1:9" ht="44.25" customHeight="1">
      <c r="A264" s="122"/>
      <c r="B264" s="123" t="s">
        <v>1064</v>
      </c>
      <c r="C264" s="124">
        <v>2023</v>
      </c>
      <c r="D264" s="125">
        <v>0.4</v>
      </c>
      <c r="E264" s="98">
        <v>1</v>
      </c>
      <c r="F264" s="102">
        <v>5</v>
      </c>
      <c r="G264" s="115">
        <v>35.491610000000001</v>
      </c>
      <c r="H264" s="99" t="s">
        <v>1065</v>
      </c>
      <c r="I264" s="123" t="s">
        <v>760</v>
      </c>
    </row>
    <row r="265" spans="1:9" ht="44.25" customHeight="1">
      <c r="A265" s="122"/>
      <c r="B265" s="123" t="s">
        <v>1066</v>
      </c>
      <c r="C265" s="124">
        <v>2023</v>
      </c>
      <c r="D265" s="125">
        <v>0.4</v>
      </c>
      <c r="E265" s="98">
        <v>1</v>
      </c>
      <c r="F265" s="102">
        <v>5</v>
      </c>
      <c r="G265" s="115">
        <v>35.491610000000001</v>
      </c>
      <c r="H265" s="99" t="s">
        <v>1067</v>
      </c>
      <c r="I265" s="123" t="s">
        <v>760</v>
      </c>
    </row>
    <row r="266" spans="1:9" ht="44.25" customHeight="1">
      <c r="A266" s="122"/>
      <c r="B266" s="123" t="s">
        <v>1068</v>
      </c>
      <c r="C266" s="124">
        <v>2023</v>
      </c>
      <c r="D266" s="125">
        <v>0.4</v>
      </c>
      <c r="E266" s="98">
        <v>1</v>
      </c>
      <c r="F266" s="99">
        <v>6</v>
      </c>
      <c r="G266" s="115">
        <v>50.83325</v>
      </c>
      <c r="H266" s="99" t="s">
        <v>1069</v>
      </c>
      <c r="I266" s="123" t="s">
        <v>733</v>
      </c>
    </row>
    <row r="267" spans="1:9" ht="49.5" customHeight="1">
      <c r="A267" s="122"/>
      <c r="B267" s="123" t="s">
        <v>1070</v>
      </c>
      <c r="C267" s="124">
        <v>2023</v>
      </c>
      <c r="D267" s="125">
        <v>0.4</v>
      </c>
      <c r="E267" s="98">
        <v>1</v>
      </c>
      <c r="F267" s="99">
        <v>6</v>
      </c>
      <c r="G267" s="115">
        <v>24.022599999999997</v>
      </c>
      <c r="H267" s="99" t="s">
        <v>1071</v>
      </c>
      <c r="I267" s="123" t="s">
        <v>756</v>
      </c>
    </row>
    <row r="268" spans="1:9" ht="49.5" customHeight="1">
      <c r="A268" s="122"/>
      <c r="B268" s="123" t="s">
        <v>1072</v>
      </c>
      <c r="C268" s="124">
        <v>2023</v>
      </c>
      <c r="D268" s="125">
        <v>0.4</v>
      </c>
      <c r="E268" s="98">
        <v>1</v>
      </c>
      <c r="F268" s="99">
        <v>6</v>
      </c>
      <c r="G268" s="115">
        <v>24.022599999999997</v>
      </c>
      <c r="H268" s="99" t="s">
        <v>1073</v>
      </c>
      <c r="I268" s="123" t="s">
        <v>756</v>
      </c>
    </row>
    <row r="269" spans="1:9" ht="51" customHeight="1">
      <c r="A269" s="81"/>
      <c r="B269" s="123" t="s">
        <v>1074</v>
      </c>
      <c r="C269" s="124">
        <v>2023</v>
      </c>
      <c r="D269" s="125">
        <v>0.4</v>
      </c>
      <c r="E269" s="98">
        <v>1</v>
      </c>
      <c r="F269" s="99">
        <v>6</v>
      </c>
      <c r="G269" s="115">
        <v>24.022599999999997</v>
      </c>
      <c r="H269" s="99" t="s">
        <v>1075</v>
      </c>
      <c r="I269" s="123" t="s">
        <v>756</v>
      </c>
    </row>
    <row r="270" spans="1:9" ht="51" customHeight="1">
      <c r="A270" s="81"/>
      <c r="B270" s="123" t="s">
        <v>1076</v>
      </c>
      <c r="C270" s="124">
        <v>2023</v>
      </c>
      <c r="D270" s="125">
        <v>0.4</v>
      </c>
      <c r="E270" s="98">
        <v>1</v>
      </c>
      <c r="F270" s="99">
        <v>6</v>
      </c>
      <c r="G270" s="115">
        <v>24.022599999999997</v>
      </c>
      <c r="H270" s="99" t="s">
        <v>1077</v>
      </c>
      <c r="I270" s="123" t="s">
        <v>756</v>
      </c>
    </row>
    <row r="271" spans="1:9" ht="51" customHeight="1">
      <c r="A271" s="81"/>
      <c r="B271" s="123" t="s">
        <v>1078</v>
      </c>
      <c r="C271" s="124">
        <v>2023</v>
      </c>
      <c r="D271" s="125">
        <v>0.4</v>
      </c>
      <c r="E271" s="98">
        <v>1</v>
      </c>
      <c r="F271" s="99">
        <v>5</v>
      </c>
      <c r="G271" s="115">
        <v>35.491610000000001</v>
      </c>
      <c r="H271" s="99" t="s">
        <v>1079</v>
      </c>
      <c r="I271" s="123" t="s">
        <v>760</v>
      </c>
    </row>
    <row r="272" spans="1:9" ht="51" customHeight="1">
      <c r="A272" s="81"/>
      <c r="B272" s="123" t="s">
        <v>1080</v>
      </c>
      <c r="C272" s="124">
        <v>2023</v>
      </c>
      <c r="D272" s="125">
        <v>0.4</v>
      </c>
      <c r="E272" s="98">
        <v>1</v>
      </c>
      <c r="F272" s="99">
        <v>5</v>
      </c>
      <c r="G272" s="115">
        <v>22.393330000000002</v>
      </c>
      <c r="H272" s="99" t="s">
        <v>1081</v>
      </c>
      <c r="I272" s="123" t="s">
        <v>751</v>
      </c>
    </row>
    <row r="273" spans="1:9" ht="51" customHeight="1">
      <c r="A273" s="81"/>
      <c r="B273" s="104" t="s">
        <v>1082</v>
      </c>
      <c r="C273" s="124">
        <v>2023</v>
      </c>
      <c r="D273" s="125">
        <v>0.4</v>
      </c>
      <c r="E273" s="98">
        <v>1</v>
      </c>
      <c r="F273" s="99">
        <v>6</v>
      </c>
      <c r="G273" s="89">
        <v>56.413339999999998</v>
      </c>
      <c r="H273" s="99" t="s">
        <v>1083</v>
      </c>
      <c r="I273" s="104" t="s">
        <v>764</v>
      </c>
    </row>
    <row r="274" spans="1:9" ht="51" customHeight="1">
      <c r="A274" s="81"/>
      <c r="B274" s="104" t="s">
        <v>1084</v>
      </c>
      <c r="C274" s="124">
        <v>2023</v>
      </c>
      <c r="D274" s="125">
        <v>0.4</v>
      </c>
      <c r="E274" s="98">
        <v>1</v>
      </c>
      <c r="F274" s="99">
        <v>6</v>
      </c>
      <c r="G274" s="89">
        <v>51.809019999999997</v>
      </c>
      <c r="H274" s="99" t="s">
        <v>1085</v>
      </c>
      <c r="I274" s="104" t="s">
        <v>775</v>
      </c>
    </row>
    <row r="275" spans="1:9">
      <c r="A275" s="119" t="s">
        <v>168</v>
      </c>
      <c r="B275" s="86" t="s">
        <v>1086</v>
      </c>
      <c r="C275" s="85"/>
      <c r="D275" s="81"/>
      <c r="E275" s="126">
        <f>SUM(E276:E329)</f>
        <v>54</v>
      </c>
      <c r="F275" s="126">
        <f>SUM(F276:F329)</f>
        <v>1021</v>
      </c>
      <c r="G275" s="87">
        <f>SUM(G276:G329)</f>
        <v>3674.245640000001</v>
      </c>
      <c r="H275" s="127"/>
      <c r="I275" s="128"/>
    </row>
    <row r="276" spans="1:9" ht="44.25" customHeight="1">
      <c r="A276" s="122"/>
      <c r="B276" s="123" t="s">
        <v>1087</v>
      </c>
      <c r="C276" s="124">
        <v>2023</v>
      </c>
      <c r="D276" s="125">
        <v>0.4</v>
      </c>
      <c r="E276" s="98">
        <v>1</v>
      </c>
      <c r="F276" s="102">
        <v>15</v>
      </c>
      <c r="G276" s="115">
        <v>32.259500000000003</v>
      </c>
      <c r="H276" s="99" t="s">
        <v>1088</v>
      </c>
      <c r="I276" s="123" t="s">
        <v>1089</v>
      </c>
    </row>
    <row r="277" spans="1:9" ht="44.25" customHeight="1">
      <c r="A277" s="122"/>
      <c r="B277" s="123" t="s">
        <v>1090</v>
      </c>
      <c r="C277" s="124">
        <v>2023</v>
      </c>
      <c r="D277" s="125">
        <v>0.4</v>
      </c>
      <c r="E277" s="98">
        <v>1</v>
      </c>
      <c r="F277" s="102">
        <v>15</v>
      </c>
      <c r="G277" s="115">
        <v>33.173250000000003</v>
      </c>
      <c r="H277" s="99" t="s">
        <v>1091</v>
      </c>
      <c r="I277" s="123" t="s">
        <v>1092</v>
      </c>
    </row>
    <row r="278" spans="1:9" ht="44.25" customHeight="1">
      <c r="A278" s="122"/>
      <c r="B278" s="123" t="s">
        <v>1093</v>
      </c>
      <c r="C278" s="124">
        <v>2023</v>
      </c>
      <c r="D278" s="125">
        <v>0.4</v>
      </c>
      <c r="E278" s="98">
        <v>1</v>
      </c>
      <c r="F278" s="102">
        <v>50</v>
      </c>
      <c r="G278" s="115">
        <v>34.063449999999996</v>
      </c>
      <c r="H278" s="99" t="s">
        <v>1094</v>
      </c>
      <c r="I278" s="123" t="s">
        <v>847</v>
      </c>
    </row>
    <row r="279" spans="1:9" ht="44.25" customHeight="1">
      <c r="A279" s="122"/>
      <c r="B279" s="123" t="s">
        <v>1095</v>
      </c>
      <c r="C279" s="124">
        <v>2023</v>
      </c>
      <c r="D279" s="125">
        <v>0.4</v>
      </c>
      <c r="E279" s="98">
        <v>1</v>
      </c>
      <c r="F279" s="102">
        <v>15</v>
      </c>
      <c r="G279" s="115">
        <v>39.412230000000001</v>
      </c>
      <c r="H279" s="99" t="s">
        <v>1096</v>
      </c>
      <c r="I279" s="123" t="s">
        <v>1029</v>
      </c>
    </row>
    <row r="280" spans="1:9" ht="44.25" customHeight="1">
      <c r="A280" s="122"/>
      <c r="B280" s="123" t="s">
        <v>1097</v>
      </c>
      <c r="C280" s="124">
        <v>2023</v>
      </c>
      <c r="D280" s="125">
        <v>0.4</v>
      </c>
      <c r="E280" s="98">
        <v>1</v>
      </c>
      <c r="F280" s="102">
        <v>15</v>
      </c>
      <c r="G280" s="115">
        <v>81.671149999999997</v>
      </c>
      <c r="H280" s="99" t="s">
        <v>1098</v>
      </c>
      <c r="I280" s="123" t="s">
        <v>739</v>
      </c>
    </row>
    <row r="281" spans="1:9" ht="44.25" customHeight="1">
      <c r="A281" s="122"/>
      <c r="B281" s="123" t="s">
        <v>1099</v>
      </c>
      <c r="C281" s="124">
        <v>2023</v>
      </c>
      <c r="D281" s="125">
        <v>0.4</v>
      </c>
      <c r="E281" s="98">
        <v>1</v>
      </c>
      <c r="F281" s="102">
        <v>15</v>
      </c>
      <c r="G281" s="115">
        <v>75.914490000000001</v>
      </c>
      <c r="H281" s="99" t="s">
        <v>1100</v>
      </c>
      <c r="I281" s="123" t="s">
        <v>747</v>
      </c>
    </row>
    <row r="282" spans="1:9" ht="44.25" customHeight="1">
      <c r="A282" s="122"/>
      <c r="B282" s="123" t="s">
        <v>1101</v>
      </c>
      <c r="C282" s="124">
        <v>2023</v>
      </c>
      <c r="D282" s="125">
        <v>0.4</v>
      </c>
      <c r="E282" s="98">
        <v>1</v>
      </c>
      <c r="F282" s="102">
        <v>15</v>
      </c>
      <c r="G282" s="115">
        <v>76.895160000000004</v>
      </c>
      <c r="H282" s="99" t="s">
        <v>1102</v>
      </c>
      <c r="I282" s="123" t="s">
        <v>756</v>
      </c>
    </row>
    <row r="283" spans="1:9" ht="44.25" customHeight="1">
      <c r="A283" s="122"/>
      <c r="B283" s="123" t="s">
        <v>1103</v>
      </c>
      <c r="C283" s="124">
        <v>2023</v>
      </c>
      <c r="D283" s="125">
        <v>0.4</v>
      </c>
      <c r="E283" s="98">
        <v>1</v>
      </c>
      <c r="F283" s="99">
        <v>15</v>
      </c>
      <c r="G283" s="115">
        <v>76.895160000000004</v>
      </c>
      <c r="H283" s="99" t="s">
        <v>1104</v>
      </c>
      <c r="I283" s="123" t="s">
        <v>756</v>
      </c>
    </row>
    <row r="284" spans="1:9" ht="49.5" customHeight="1">
      <c r="A284" s="122"/>
      <c r="B284" s="123" t="s">
        <v>1105</v>
      </c>
      <c r="C284" s="124">
        <v>2023</v>
      </c>
      <c r="D284" s="125">
        <v>0.4</v>
      </c>
      <c r="E284" s="98">
        <v>1</v>
      </c>
      <c r="F284" s="99">
        <v>15</v>
      </c>
      <c r="G284" s="115">
        <v>83.269070000000013</v>
      </c>
      <c r="H284" s="99" t="s">
        <v>1106</v>
      </c>
      <c r="I284" s="123" t="s">
        <v>1037</v>
      </c>
    </row>
    <row r="285" spans="1:9" ht="49.5" customHeight="1">
      <c r="A285" s="122"/>
      <c r="B285" s="123" t="s">
        <v>1107</v>
      </c>
      <c r="C285" s="124">
        <v>2023</v>
      </c>
      <c r="D285" s="125">
        <v>0.4</v>
      </c>
      <c r="E285" s="98">
        <v>1</v>
      </c>
      <c r="F285" s="99">
        <v>15</v>
      </c>
      <c r="G285" s="115">
        <v>76.448909999999998</v>
      </c>
      <c r="H285" s="99" t="s">
        <v>1108</v>
      </c>
      <c r="I285" s="123" t="s">
        <v>735</v>
      </c>
    </row>
    <row r="286" spans="1:9" ht="49.5" customHeight="1">
      <c r="A286" s="122"/>
      <c r="B286" s="123" t="s">
        <v>1109</v>
      </c>
      <c r="C286" s="124">
        <v>2023</v>
      </c>
      <c r="D286" s="125">
        <v>0.4</v>
      </c>
      <c r="E286" s="98">
        <v>1</v>
      </c>
      <c r="F286" s="99">
        <v>15</v>
      </c>
      <c r="G286" s="115">
        <v>76.895160000000004</v>
      </c>
      <c r="H286" s="99" t="s">
        <v>1110</v>
      </c>
      <c r="I286" s="123" t="s">
        <v>756</v>
      </c>
    </row>
    <row r="287" spans="1:9" ht="49.5" customHeight="1">
      <c r="A287" s="122"/>
      <c r="B287" s="123" t="s">
        <v>1111</v>
      </c>
      <c r="C287" s="124">
        <v>2023</v>
      </c>
      <c r="D287" s="125">
        <v>0.4</v>
      </c>
      <c r="E287" s="98">
        <v>1</v>
      </c>
      <c r="F287" s="99">
        <v>15</v>
      </c>
      <c r="G287" s="115">
        <v>76.895160000000004</v>
      </c>
      <c r="H287" s="99" t="s">
        <v>1112</v>
      </c>
      <c r="I287" s="123" t="s">
        <v>756</v>
      </c>
    </row>
    <row r="288" spans="1:9" ht="49.5" customHeight="1">
      <c r="A288" s="122"/>
      <c r="B288" s="123" t="s">
        <v>1113</v>
      </c>
      <c r="C288" s="124">
        <v>2023</v>
      </c>
      <c r="D288" s="125">
        <v>0.4</v>
      </c>
      <c r="E288" s="98">
        <v>1</v>
      </c>
      <c r="F288" s="99">
        <v>15</v>
      </c>
      <c r="G288" s="115">
        <v>76.895160000000004</v>
      </c>
      <c r="H288" s="99" t="s">
        <v>1114</v>
      </c>
      <c r="I288" s="123" t="s">
        <v>756</v>
      </c>
    </row>
    <row r="289" spans="1:9" ht="49.5" customHeight="1">
      <c r="A289" s="122"/>
      <c r="B289" s="123" t="s">
        <v>1115</v>
      </c>
      <c r="C289" s="124">
        <v>2023</v>
      </c>
      <c r="D289" s="125">
        <v>0.4</v>
      </c>
      <c r="E289" s="98">
        <v>1</v>
      </c>
      <c r="F289" s="99">
        <v>15</v>
      </c>
      <c r="G289" s="115">
        <v>76.895160000000004</v>
      </c>
      <c r="H289" s="99" t="s">
        <v>1116</v>
      </c>
      <c r="I289" s="123" t="s">
        <v>756</v>
      </c>
    </row>
    <row r="290" spans="1:9" ht="49.5" customHeight="1">
      <c r="A290" s="122"/>
      <c r="B290" s="123" t="s">
        <v>1117</v>
      </c>
      <c r="C290" s="124">
        <v>2023</v>
      </c>
      <c r="D290" s="125">
        <v>0.4</v>
      </c>
      <c r="E290" s="98">
        <v>1</v>
      </c>
      <c r="F290" s="99">
        <v>15</v>
      </c>
      <c r="G290" s="115">
        <v>76.895160000000004</v>
      </c>
      <c r="H290" s="99" t="s">
        <v>1118</v>
      </c>
      <c r="I290" s="123" t="s">
        <v>756</v>
      </c>
    </row>
    <row r="291" spans="1:9" ht="51" customHeight="1">
      <c r="A291" s="119"/>
      <c r="B291" s="123" t="s">
        <v>1119</v>
      </c>
      <c r="C291" s="124">
        <v>2023</v>
      </c>
      <c r="D291" s="125">
        <v>0.4</v>
      </c>
      <c r="E291" s="98">
        <v>1</v>
      </c>
      <c r="F291" s="99">
        <v>15</v>
      </c>
      <c r="G291" s="115">
        <v>70.7667</v>
      </c>
      <c r="H291" s="99" t="s">
        <v>1120</v>
      </c>
      <c r="I291" s="123" t="s">
        <v>762</v>
      </c>
    </row>
    <row r="292" spans="1:9" ht="51" customHeight="1">
      <c r="A292" s="119"/>
      <c r="B292" s="123" t="s">
        <v>1121</v>
      </c>
      <c r="C292" s="124">
        <v>2023</v>
      </c>
      <c r="D292" s="125">
        <v>0.4</v>
      </c>
      <c r="E292" s="98">
        <v>1</v>
      </c>
      <c r="F292" s="99">
        <v>15</v>
      </c>
      <c r="G292" s="115">
        <v>70.829460000000012</v>
      </c>
      <c r="H292" s="99" t="s">
        <v>1122</v>
      </c>
      <c r="I292" s="123" t="s">
        <v>762</v>
      </c>
    </row>
    <row r="293" spans="1:9" ht="51" customHeight="1">
      <c r="A293" s="119"/>
      <c r="B293" s="123" t="s">
        <v>1123</v>
      </c>
      <c r="C293" s="124">
        <v>2023</v>
      </c>
      <c r="D293" s="125">
        <v>0.4</v>
      </c>
      <c r="E293" s="98">
        <v>1</v>
      </c>
      <c r="F293" s="99">
        <v>15</v>
      </c>
      <c r="G293" s="115">
        <v>70.7667</v>
      </c>
      <c r="H293" s="99" t="s">
        <v>1124</v>
      </c>
      <c r="I293" s="123" t="s">
        <v>762</v>
      </c>
    </row>
    <row r="294" spans="1:9" ht="51" customHeight="1">
      <c r="A294" s="81"/>
      <c r="B294" s="123" t="s">
        <v>1125</v>
      </c>
      <c r="C294" s="124">
        <v>2023</v>
      </c>
      <c r="D294" s="125">
        <v>0.4</v>
      </c>
      <c r="E294" s="98">
        <v>1</v>
      </c>
      <c r="F294" s="99">
        <v>15</v>
      </c>
      <c r="G294" s="115">
        <v>70.827950000000001</v>
      </c>
      <c r="H294" s="99" t="s">
        <v>1126</v>
      </c>
      <c r="I294" s="123" t="s">
        <v>804</v>
      </c>
    </row>
    <row r="295" spans="1:9" ht="51" customHeight="1">
      <c r="A295" s="81"/>
      <c r="B295" s="123" t="s">
        <v>1127</v>
      </c>
      <c r="C295" s="124">
        <v>2023</v>
      </c>
      <c r="D295" s="125">
        <v>0.4</v>
      </c>
      <c r="E295" s="98">
        <v>1</v>
      </c>
      <c r="F295" s="99">
        <v>10</v>
      </c>
      <c r="G295" s="115">
        <v>76.547550000000001</v>
      </c>
      <c r="H295" s="99" t="s">
        <v>1128</v>
      </c>
      <c r="I295" s="123" t="s">
        <v>1129</v>
      </c>
    </row>
    <row r="296" spans="1:9" ht="51" customHeight="1">
      <c r="A296" s="81"/>
      <c r="B296" s="123" t="s">
        <v>1130</v>
      </c>
      <c r="C296" s="124">
        <v>2023</v>
      </c>
      <c r="D296" s="125">
        <v>0.4</v>
      </c>
      <c r="E296" s="98">
        <v>1</v>
      </c>
      <c r="F296" s="99">
        <v>15</v>
      </c>
      <c r="G296" s="115">
        <v>76.895160000000004</v>
      </c>
      <c r="H296" s="99" t="s">
        <v>1131</v>
      </c>
      <c r="I296" s="123" t="s">
        <v>756</v>
      </c>
    </row>
    <row r="297" spans="1:9" ht="51" customHeight="1">
      <c r="A297" s="81"/>
      <c r="B297" s="123" t="s">
        <v>1132</v>
      </c>
      <c r="C297" s="124">
        <v>2023</v>
      </c>
      <c r="D297" s="125">
        <v>0.4</v>
      </c>
      <c r="E297" s="98">
        <v>1</v>
      </c>
      <c r="F297" s="99">
        <v>15</v>
      </c>
      <c r="G297" s="115">
        <v>76.895160000000004</v>
      </c>
      <c r="H297" s="99" t="s">
        <v>1133</v>
      </c>
      <c r="I297" s="123" t="s">
        <v>756</v>
      </c>
    </row>
    <row r="298" spans="1:9" ht="51" customHeight="1">
      <c r="A298" s="81"/>
      <c r="B298" s="123" t="s">
        <v>1134</v>
      </c>
      <c r="C298" s="124">
        <v>2023</v>
      </c>
      <c r="D298" s="125">
        <v>0.4</v>
      </c>
      <c r="E298" s="98">
        <v>1</v>
      </c>
      <c r="F298" s="99">
        <v>10</v>
      </c>
      <c r="G298" s="115">
        <v>70.651929999999993</v>
      </c>
      <c r="H298" s="99" t="s">
        <v>1135</v>
      </c>
      <c r="I298" s="123" t="s">
        <v>1136</v>
      </c>
    </row>
    <row r="299" spans="1:9" ht="51" customHeight="1">
      <c r="A299" s="81"/>
      <c r="B299" s="123" t="s">
        <v>1137</v>
      </c>
      <c r="C299" s="124">
        <v>2023</v>
      </c>
      <c r="D299" s="125">
        <v>0.4</v>
      </c>
      <c r="E299" s="98">
        <v>1</v>
      </c>
      <c r="F299" s="99">
        <v>15</v>
      </c>
      <c r="G299" s="115">
        <v>35.213900000000002</v>
      </c>
      <c r="H299" s="99" t="s">
        <v>1138</v>
      </c>
      <c r="I299" s="123" t="s">
        <v>758</v>
      </c>
    </row>
    <row r="300" spans="1:9" ht="51" customHeight="1">
      <c r="A300" s="81"/>
      <c r="B300" s="123" t="s">
        <v>1139</v>
      </c>
      <c r="C300" s="124">
        <v>2023</v>
      </c>
      <c r="D300" s="125">
        <v>0.4</v>
      </c>
      <c r="E300" s="98">
        <v>1</v>
      </c>
      <c r="F300" s="99">
        <v>15</v>
      </c>
      <c r="G300" s="115">
        <v>50.905910000000006</v>
      </c>
      <c r="H300" s="99" t="s">
        <v>1140</v>
      </c>
      <c r="I300" s="123" t="s">
        <v>737</v>
      </c>
    </row>
    <row r="301" spans="1:9" ht="51" customHeight="1">
      <c r="A301" s="81"/>
      <c r="B301" s="123" t="s">
        <v>1141</v>
      </c>
      <c r="C301" s="124">
        <v>2023</v>
      </c>
      <c r="D301" s="125">
        <v>0.4</v>
      </c>
      <c r="E301" s="98">
        <v>1</v>
      </c>
      <c r="F301" s="99">
        <v>15</v>
      </c>
      <c r="G301" s="115">
        <v>33.655819999999999</v>
      </c>
      <c r="H301" s="99" t="s">
        <v>1142</v>
      </c>
      <c r="I301" s="123" t="s">
        <v>800</v>
      </c>
    </row>
    <row r="302" spans="1:9" ht="51" customHeight="1">
      <c r="A302" s="81"/>
      <c r="B302" s="123" t="s">
        <v>1143</v>
      </c>
      <c r="C302" s="124">
        <v>2023</v>
      </c>
      <c r="D302" s="125">
        <v>0.4</v>
      </c>
      <c r="E302" s="98">
        <v>1</v>
      </c>
      <c r="F302" s="99">
        <v>15</v>
      </c>
      <c r="G302" s="115">
        <v>76.895160000000004</v>
      </c>
      <c r="H302" s="99" t="s">
        <v>1144</v>
      </c>
      <c r="I302" s="123" t="s">
        <v>756</v>
      </c>
    </row>
    <row r="303" spans="1:9" ht="51" customHeight="1">
      <c r="A303" s="81"/>
      <c r="B303" s="123" t="s">
        <v>1145</v>
      </c>
      <c r="C303" s="124">
        <v>2023</v>
      </c>
      <c r="D303" s="125">
        <v>0.4</v>
      </c>
      <c r="E303" s="98">
        <v>1</v>
      </c>
      <c r="F303" s="99">
        <v>15</v>
      </c>
      <c r="G303" s="115">
        <v>95.396630000000002</v>
      </c>
      <c r="H303" s="99" t="s">
        <v>1146</v>
      </c>
      <c r="I303" s="123" t="s">
        <v>760</v>
      </c>
    </row>
    <row r="304" spans="1:9" ht="51" customHeight="1">
      <c r="A304" s="81"/>
      <c r="B304" s="123" t="s">
        <v>1147</v>
      </c>
      <c r="C304" s="124">
        <v>2023</v>
      </c>
      <c r="D304" s="125">
        <v>0.4</v>
      </c>
      <c r="E304" s="98">
        <v>1</v>
      </c>
      <c r="F304" s="99">
        <v>15</v>
      </c>
      <c r="G304" s="115">
        <v>86.544219999999996</v>
      </c>
      <c r="H304" s="99" t="s">
        <v>1148</v>
      </c>
      <c r="I304" s="123" t="s">
        <v>747</v>
      </c>
    </row>
    <row r="305" spans="1:9" ht="51" customHeight="1">
      <c r="A305" s="81"/>
      <c r="B305" s="123" t="s">
        <v>1149</v>
      </c>
      <c r="C305" s="124">
        <v>2023</v>
      </c>
      <c r="D305" s="125">
        <v>0.4</v>
      </c>
      <c r="E305" s="98">
        <v>1</v>
      </c>
      <c r="F305" s="99">
        <v>15</v>
      </c>
      <c r="G305" s="115">
        <v>70.829460000000012</v>
      </c>
      <c r="H305" s="99" t="s">
        <v>1150</v>
      </c>
      <c r="I305" s="123" t="s">
        <v>762</v>
      </c>
    </row>
    <row r="306" spans="1:9" ht="51" customHeight="1">
      <c r="A306" s="81"/>
      <c r="B306" s="123" t="s">
        <v>1151</v>
      </c>
      <c r="C306" s="124">
        <v>2023</v>
      </c>
      <c r="D306" s="125">
        <v>0.4</v>
      </c>
      <c r="E306" s="98">
        <v>1</v>
      </c>
      <c r="F306" s="99">
        <v>15</v>
      </c>
      <c r="G306" s="115">
        <v>76.895160000000004</v>
      </c>
      <c r="H306" s="99" t="s">
        <v>1152</v>
      </c>
      <c r="I306" s="123" t="s">
        <v>756</v>
      </c>
    </row>
    <row r="307" spans="1:9" ht="51" customHeight="1">
      <c r="A307" s="81"/>
      <c r="B307" s="123" t="s">
        <v>1153</v>
      </c>
      <c r="C307" s="124">
        <v>2023</v>
      </c>
      <c r="D307" s="125">
        <v>0.4</v>
      </c>
      <c r="E307" s="98">
        <v>1</v>
      </c>
      <c r="F307" s="99">
        <v>15</v>
      </c>
      <c r="G307" s="115">
        <v>70.829460000000012</v>
      </c>
      <c r="H307" s="99" t="s">
        <v>1154</v>
      </c>
      <c r="I307" s="123" t="s">
        <v>762</v>
      </c>
    </row>
    <row r="308" spans="1:9" ht="51" customHeight="1">
      <c r="A308" s="81"/>
      <c r="B308" s="123" t="s">
        <v>1155</v>
      </c>
      <c r="C308" s="124">
        <v>2023</v>
      </c>
      <c r="D308" s="125">
        <v>0.4</v>
      </c>
      <c r="E308" s="98">
        <v>1</v>
      </c>
      <c r="F308" s="99">
        <v>6</v>
      </c>
      <c r="G308" s="115">
        <v>76.895160000000004</v>
      </c>
      <c r="H308" s="99" t="s">
        <v>1156</v>
      </c>
      <c r="I308" s="123" t="s">
        <v>756</v>
      </c>
    </row>
    <row r="309" spans="1:9" ht="51" customHeight="1">
      <c r="A309" s="81"/>
      <c r="B309" s="123" t="s">
        <v>1157</v>
      </c>
      <c r="C309" s="124">
        <v>2023</v>
      </c>
      <c r="D309" s="125">
        <v>0.4</v>
      </c>
      <c r="E309" s="98">
        <v>1</v>
      </c>
      <c r="F309" s="99">
        <v>15</v>
      </c>
      <c r="G309" s="115">
        <v>70.7667</v>
      </c>
      <c r="H309" s="99" t="s">
        <v>1158</v>
      </c>
      <c r="I309" s="123" t="s">
        <v>762</v>
      </c>
    </row>
    <row r="310" spans="1:9" ht="51" customHeight="1">
      <c r="A310" s="81"/>
      <c r="B310" s="123" t="s">
        <v>1159</v>
      </c>
      <c r="C310" s="124">
        <v>2023</v>
      </c>
      <c r="D310" s="125">
        <v>0.4</v>
      </c>
      <c r="E310" s="98">
        <v>1</v>
      </c>
      <c r="F310" s="99">
        <v>15</v>
      </c>
      <c r="G310" s="115">
        <v>70.7667</v>
      </c>
      <c r="H310" s="99" t="s">
        <v>1160</v>
      </c>
      <c r="I310" s="123" t="s">
        <v>762</v>
      </c>
    </row>
    <row r="311" spans="1:9" ht="51" customHeight="1">
      <c r="A311" s="81"/>
      <c r="B311" s="123" t="s">
        <v>1161</v>
      </c>
      <c r="C311" s="124">
        <v>2023</v>
      </c>
      <c r="D311" s="125">
        <v>0.4</v>
      </c>
      <c r="E311" s="98">
        <v>1</v>
      </c>
      <c r="F311" s="99">
        <v>50</v>
      </c>
      <c r="G311" s="115">
        <v>83.065179999999998</v>
      </c>
      <c r="H311" s="99" t="s">
        <v>1162</v>
      </c>
      <c r="I311" s="123" t="s">
        <v>749</v>
      </c>
    </row>
    <row r="312" spans="1:9" ht="51" customHeight="1">
      <c r="A312" s="81"/>
      <c r="B312" s="123" t="s">
        <v>1163</v>
      </c>
      <c r="C312" s="124">
        <v>2023</v>
      </c>
      <c r="D312" s="125">
        <v>0.4</v>
      </c>
      <c r="E312" s="98">
        <v>1</v>
      </c>
      <c r="F312" s="99">
        <v>15</v>
      </c>
      <c r="G312" s="115">
        <v>74.857699999999994</v>
      </c>
      <c r="H312" s="99" t="s">
        <v>1164</v>
      </c>
      <c r="I312" s="123" t="s">
        <v>1136</v>
      </c>
    </row>
    <row r="313" spans="1:9" ht="51" customHeight="1">
      <c r="A313" s="81"/>
      <c r="B313" s="123" t="s">
        <v>1165</v>
      </c>
      <c r="C313" s="124">
        <v>2023</v>
      </c>
      <c r="D313" s="125">
        <v>0.4</v>
      </c>
      <c r="E313" s="98">
        <v>1</v>
      </c>
      <c r="F313" s="99">
        <v>15</v>
      </c>
      <c r="G313" s="115">
        <v>70.7667</v>
      </c>
      <c r="H313" s="99" t="s">
        <v>1166</v>
      </c>
      <c r="I313" s="123" t="s">
        <v>762</v>
      </c>
    </row>
    <row r="314" spans="1:9" ht="51" customHeight="1">
      <c r="A314" s="81"/>
      <c r="B314" s="104" t="s">
        <v>1167</v>
      </c>
      <c r="C314" s="124">
        <v>2023</v>
      </c>
      <c r="D314" s="125">
        <v>0.4</v>
      </c>
      <c r="E314" s="98">
        <v>1</v>
      </c>
      <c r="F314" s="99">
        <v>50</v>
      </c>
      <c r="G314" s="89">
        <v>70.758990000000011</v>
      </c>
      <c r="H314" s="99" t="s">
        <v>1168</v>
      </c>
      <c r="I314" s="104" t="s">
        <v>806</v>
      </c>
    </row>
    <row r="315" spans="1:9" ht="51" customHeight="1">
      <c r="A315" s="81"/>
      <c r="B315" s="104" t="s">
        <v>1169</v>
      </c>
      <c r="C315" s="124">
        <v>2023</v>
      </c>
      <c r="D315" s="125">
        <v>0.4</v>
      </c>
      <c r="E315" s="98">
        <v>1</v>
      </c>
      <c r="F315" s="99">
        <v>15</v>
      </c>
      <c r="G315" s="89">
        <v>81.497060000000005</v>
      </c>
      <c r="H315" s="99" t="s">
        <v>1170</v>
      </c>
      <c r="I315" s="104" t="s">
        <v>773</v>
      </c>
    </row>
    <row r="316" spans="1:9" ht="51" customHeight="1">
      <c r="A316" s="81"/>
      <c r="B316" s="104" t="s">
        <v>1171</v>
      </c>
      <c r="C316" s="124">
        <v>2023</v>
      </c>
      <c r="D316" s="125">
        <v>0.4</v>
      </c>
      <c r="E316" s="98">
        <v>1</v>
      </c>
      <c r="F316" s="99">
        <v>15</v>
      </c>
      <c r="G316" s="89">
        <v>70.795029999999997</v>
      </c>
      <c r="H316" s="99" t="s">
        <v>1172</v>
      </c>
      <c r="I316" s="104" t="s">
        <v>1136</v>
      </c>
    </row>
    <row r="317" spans="1:9" ht="51" customHeight="1">
      <c r="A317" s="81"/>
      <c r="B317" s="104" t="s">
        <v>1173</v>
      </c>
      <c r="C317" s="124">
        <v>2023</v>
      </c>
      <c r="D317" s="125">
        <v>0.4</v>
      </c>
      <c r="E317" s="98">
        <v>1</v>
      </c>
      <c r="F317" s="99">
        <v>15</v>
      </c>
      <c r="G317" s="89">
        <v>56.038640000000001</v>
      </c>
      <c r="H317" s="99" t="s">
        <v>1174</v>
      </c>
      <c r="I317" s="104" t="s">
        <v>764</v>
      </c>
    </row>
    <row r="318" spans="1:9" ht="51" customHeight="1">
      <c r="A318" s="81"/>
      <c r="B318" s="104" t="s">
        <v>1175</v>
      </c>
      <c r="C318" s="124">
        <v>2023</v>
      </c>
      <c r="D318" s="125">
        <v>0.4</v>
      </c>
      <c r="E318" s="98">
        <v>1</v>
      </c>
      <c r="F318" s="99">
        <v>15</v>
      </c>
      <c r="G318" s="89">
        <v>69.889589999999998</v>
      </c>
      <c r="H318" s="99" t="s">
        <v>1176</v>
      </c>
      <c r="I318" s="104" t="s">
        <v>781</v>
      </c>
    </row>
    <row r="319" spans="1:9" ht="51" customHeight="1">
      <c r="A319" s="81"/>
      <c r="B319" s="104" t="s">
        <v>1177</v>
      </c>
      <c r="C319" s="124">
        <v>2023</v>
      </c>
      <c r="D319" s="125">
        <v>0.4</v>
      </c>
      <c r="E319" s="98">
        <v>1</v>
      </c>
      <c r="F319" s="99">
        <v>15</v>
      </c>
      <c r="G319" s="89">
        <v>70.753179999999986</v>
      </c>
      <c r="H319" s="99" t="s">
        <v>1178</v>
      </c>
      <c r="I319" s="104" t="s">
        <v>804</v>
      </c>
    </row>
    <row r="320" spans="1:9" ht="51" customHeight="1">
      <c r="A320" s="81"/>
      <c r="B320" s="104" t="s">
        <v>1179</v>
      </c>
      <c r="C320" s="124">
        <v>2023</v>
      </c>
      <c r="D320" s="125">
        <v>0.4</v>
      </c>
      <c r="E320" s="98">
        <v>1</v>
      </c>
      <c r="F320" s="99">
        <v>15</v>
      </c>
      <c r="G320" s="89">
        <v>70.974000000000004</v>
      </c>
      <c r="H320" s="99" t="s">
        <v>1180</v>
      </c>
      <c r="I320" s="104" t="s">
        <v>771</v>
      </c>
    </row>
    <row r="321" spans="1:9" ht="51" customHeight="1">
      <c r="A321" s="81"/>
      <c r="B321" s="104" t="s">
        <v>1181</v>
      </c>
      <c r="C321" s="124">
        <v>2023</v>
      </c>
      <c r="D321" s="125">
        <v>0.4</v>
      </c>
      <c r="E321" s="98">
        <v>1</v>
      </c>
      <c r="F321" s="99">
        <v>5</v>
      </c>
      <c r="G321" s="89">
        <v>50.804130000000001</v>
      </c>
      <c r="H321" s="99" t="s">
        <v>1182</v>
      </c>
      <c r="I321" s="104" t="s">
        <v>778</v>
      </c>
    </row>
    <row r="322" spans="1:9" ht="51" customHeight="1">
      <c r="A322" s="81"/>
      <c r="B322" s="104" t="s">
        <v>1183</v>
      </c>
      <c r="C322" s="124">
        <v>2023</v>
      </c>
      <c r="D322" s="125">
        <v>0.4</v>
      </c>
      <c r="E322" s="98">
        <v>1</v>
      </c>
      <c r="F322" s="99">
        <v>15</v>
      </c>
      <c r="G322" s="89">
        <v>56.038629999999998</v>
      </c>
      <c r="H322" s="99" t="s">
        <v>1184</v>
      </c>
      <c r="I322" s="104" t="s">
        <v>764</v>
      </c>
    </row>
    <row r="323" spans="1:9" ht="51" customHeight="1">
      <c r="A323" s="81"/>
      <c r="B323" s="104" t="s">
        <v>1185</v>
      </c>
      <c r="C323" s="124">
        <v>2023</v>
      </c>
      <c r="D323" s="125">
        <v>0.4</v>
      </c>
      <c r="E323" s="98">
        <v>1</v>
      </c>
      <c r="F323" s="99">
        <v>15</v>
      </c>
      <c r="G323" s="89">
        <v>69.206229999999991</v>
      </c>
      <c r="H323" s="99" t="s">
        <v>1186</v>
      </c>
      <c r="I323" s="104" t="s">
        <v>808</v>
      </c>
    </row>
    <row r="324" spans="1:9" ht="51" customHeight="1">
      <c r="A324" s="81"/>
      <c r="B324" s="104" t="s">
        <v>1187</v>
      </c>
      <c r="C324" s="124">
        <v>2023</v>
      </c>
      <c r="D324" s="125">
        <v>0.4</v>
      </c>
      <c r="E324" s="98">
        <v>1</v>
      </c>
      <c r="F324" s="99">
        <v>15</v>
      </c>
      <c r="G324" s="89">
        <v>83.017229999999998</v>
      </c>
      <c r="H324" s="99" t="s">
        <v>1188</v>
      </c>
      <c r="I324" s="104" t="s">
        <v>787</v>
      </c>
    </row>
    <row r="325" spans="1:9" ht="51" customHeight="1">
      <c r="A325" s="81"/>
      <c r="B325" s="104" t="s">
        <v>1189</v>
      </c>
      <c r="C325" s="124">
        <v>2023</v>
      </c>
      <c r="D325" s="125">
        <v>0.4</v>
      </c>
      <c r="E325" s="98">
        <v>1</v>
      </c>
      <c r="F325" s="99">
        <v>15</v>
      </c>
      <c r="G325" s="89">
        <v>69.808429999999987</v>
      </c>
      <c r="H325" s="99" t="s">
        <v>1190</v>
      </c>
      <c r="I325" s="104" t="s">
        <v>1191</v>
      </c>
    </row>
    <row r="326" spans="1:9" ht="51" customHeight="1">
      <c r="A326" s="81"/>
      <c r="B326" s="104" t="s">
        <v>1192</v>
      </c>
      <c r="C326" s="124">
        <v>2023</v>
      </c>
      <c r="D326" s="125">
        <v>0.4</v>
      </c>
      <c r="E326" s="98">
        <v>1</v>
      </c>
      <c r="F326" s="99">
        <v>15</v>
      </c>
      <c r="G326" s="89">
        <v>70.849000000000004</v>
      </c>
      <c r="H326" s="99" t="s">
        <v>1193</v>
      </c>
      <c r="I326" s="104" t="s">
        <v>769</v>
      </c>
    </row>
    <row r="327" spans="1:9" ht="51" customHeight="1">
      <c r="A327" s="81"/>
      <c r="B327" s="104" t="s">
        <v>1194</v>
      </c>
      <c r="C327" s="124">
        <v>2023</v>
      </c>
      <c r="D327" s="125">
        <v>0.4</v>
      </c>
      <c r="E327" s="98">
        <v>1</v>
      </c>
      <c r="F327" s="99">
        <v>15</v>
      </c>
      <c r="G327" s="89">
        <v>56.038629999999998</v>
      </c>
      <c r="H327" s="99" t="s">
        <v>1195</v>
      </c>
      <c r="I327" s="104" t="s">
        <v>764</v>
      </c>
    </row>
    <row r="328" spans="1:9" ht="51" customHeight="1">
      <c r="A328" s="81"/>
      <c r="B328" s="104" t="s">
        <v>1196</v>
      </c>
      <c r="C328" s="124">
        <v>2023</v>
      </c>
      <c r="D328" s="125">
        <v>0.4</v>
      </c>
      <c r="E328" s="98">
        <v>1</v>
      </c>
      <c r="F328" s="99">
        <v>150</v>
      </c>
      <c r="G328" s="89">
        <v>48.7956</v>
      </c>
      <c r="H328" s="99" t="s">
        <v>1197</v>
      </c>
      <c r="I328" s="104" t="s">
        <v>881</v>
      </c>
    </row>
    <row r="329" spans="1:9" ht="51" customHeight="1">
      <c r="A329" s="81"/>
      <c r="B329" s="104" t="s">
        <v>1198</v>
      </c>
      <c r="C329" s="124">
        <v>2023</v>
      </c>
      <c r="D329" s="125">
        <v>0.4</v>
      </c>
      <c r="E329" s="98">
        <v>1</v>
      </c>
      <c r="F329" s="99">
        <v>15</v>
      </c>
      <c r="G329" s="89">
        <v>56.038629999999998</v>
      </c>
      <c r="H329" s="99" t="s">
        <v>1199</v>
      </c>
      <c r="I329" s="104" t="s">
        <v>764</v>
      </c>
    </row>
    <row r="330" spans="1:9">
      <c r="A330" s="119" t="s">
        <v>203</v>
      </c>
      <c r="B330" s="86" t="s">
        <v>1200</v>
      </c>
      <c r="C330" s="85"/>
      <c r="D330" s="81"/>
      <c r="E330" s="113">
        <f>SUM(E332:E374)</f>
        <v>43</v>
      </c>
      <c r="F330" s="113">
        <f t="shared" ref="F330:G330" si="47">SUM(F332:F374)</f>
        <v>6063.8</v>
      </c>
      <c r="G330" s="113">
        <f t="shared" si="47"/>
        <v>5830.2697599999992</v>
      </c>
      <c r="H330" s="93"/>
      <c r="I330" s="129"/>
    </row>
    <row r="331" spans="1:9" ht="51" customHeight="1">
      <c r="A331" s="81"/>
      <c r="B331" s="104" t="s">
        <v>1201</v>
      </c>
      <c r="C331" s="124">
        <v>2023</v>
      </c>
      <c r="D331" s="125">
        <v>0.4</v>
      </c>
      <c r="E331" s="98">
        <v>1</v>
      </c>
      <c r="F331" s="99">
        <v>100</v>
      </c>
      <c r="G331" s="89">
        <v>37.708589999999994</v>
      </c>
      <c r="H331" s="99" t="s">
        <v>1202</v>
      </c>
      <c r="I331" s="104" t="s">
        <v>985</v>
      </c>
    </row>
    <row r="332" spans="1:9" ht="51" customHeight="1">
      <c r="A332" s="81"/>
      <c r="B332" s="123" t="s">
        <v>1203</v>
      </c>
      <c r="C332" s="124">
        <v>2023</v>
      </c>
      <c r="D332" s="125">
        <v>0.4</v>
      </c>
      <c r="E332" s="98">
        <v>1</v>
      </c>
      <c r="F332" s="99">
        <v>150</v>
      </c>
      <c r="G332" s="115">
        <v>193.69573</v>
      </c>
      <c r="H332" s="99" t="s">
        <v>1204</v>
      </c>
      <c r="I332" s="123" t="s">
        <v>1205</v>
      </c>
    </row>
    <row r="333" spans="1:9" ht="44.25" customHeight="1">
      <c r="A333" s="122"/>
      <c r="B333" s="123" t="s">
        <v>1206</v>
      </c>
      <c r="C333" s="124">
        <v>2023</v>
      </c>
      <c r="D333" s="125">
        <v>0.4</v>
      </c>
      <c r="E333" s="98">
        <v>1</v>
      </c>
      <c r="F333" s="102">
        <v>135</v>
      </c>
      <c r="G333" s="115">
        <v>206.79326999999998</v>
      </c>
      <c r="H333" s="99" t="s">
        <v>1207</v>
      </c>
      <c r="I333" s="123" t="s">
        <v>814</v>
      </c>
    </row>
    <row r="334" spans="1:9" ht="51" customHeight="1">
      <c r="A334" s="81"/>
      <c r="B334" s="104" t="s">
        <v>1208</v>
      </c>
      <c r="C334" s="124">
        <v>2023</v>
      </c>
      <c r="D334" s="125">
        <v>0.4</v>
      </c>
      <c r="E334" s="98">
        <v>1</v>
      </c>
      <c r="F334" s="99">
        <v>535</v>
      </c>
      <c r="G334" s="89">
        <v>63.13993</v>
      </c>
      <c r="H334" s="99" t="s">
        <v>1209</v>
      </c>
      <c r="I334" s="104" t="s">
        <v>1210</v>
      </c>
    </row>
    <row r="335" spans="1:9" ht="51" customHeight="1">
      <c r="A335" s="81"/>
      <c r="B335" s="104" t="s">
        <v>1211</v>
      </c>
      <c r="C335" s="124">
        <v>2023</v>
      </c>
      <c r="D335" s="125">
        <v>0.4</v>
      </c>
      <c r="E335" s="98">
        <v>1</v>
      </c>
      <c r="F335" s="99">
        <v>535</v>
      </c>
      <c r="G335" s="89">
        <v>68.973259999999996</v>
      </c>
      <c r="H335" s="99" t="s">
        <v>1212</v>
      </c>
      <c r="I335" s="104" t="s">
        <v>1210</v>
      </c>
    </row>
    <row r="336" spans="1:9" ht="64.5" customHeight="1">
      <c r="A336" s="81"/>
      <c r="B336" s="104" t="s">
        <v>1213</v>
      </c>
      <c r="C336" s="124">
        <v>2023</v>
      </c>
      <c r="D336" s="125">
        <v>0.4</v>
      </c>
      <c r="E336" s="98">
        <v>1</v>
      </c>
      <c r="F336" s="99">
        <v>150</v>
      </c>
      <c r="G336" s="89">
        <v>38.429850000000002</v>
      </c>
      <c r="H336" s="99" t="s">
        <v>1202</v>
      </c>
      <c r="I336" s="104" t="s">
        <v>985</v>
      </c>
    </row>
    <row r="337" spans="1:9" ht="51" customHeight="1">
      <c r="A337" s="81"/>
      <c r="B337" s="104" t="s">
        <v>1214</v>
      </c>
      <c r="C337" s="124">
        <v>2023</v>
      </c>
      <c r="D337" s="125">
        <v>0.4</v>
      </c>
      <c r="E337" s="98">
        <v>1</v>
      </c>
      <c r="F337" s="99">
        <v>150</v>
      </c>
      <c r="G337" s="89">
        <v>68.498890000000003</v>
      </c>
      <c r="H337" s="99" t="s">
        <v>1215</v>
      </c>
      <c r="I337" s="104" t="s">
        <v>991</v>
      </c>
    </row>
    <row r="338" spans="1:9" ht="51" customHeight="1">
      <c r="A338" s="81"/>
      <c r="B338" s="104" t="s">
        <v>1216</v>
      </c>
      <c r="C338" s="124">
        <v>2023</v>
      </c>
      <c r="D338" s="125">
        <v>0.4</v>
      </c>
      <c r="E338" s="98">
        <v>1</v>
      </c>
      <c r="F338" s="99">
        <v>150</v>
      </c>
      <c r="G338" s="89">
        <v>67.523440000000008</v>
      </c>
      <c r="H338" s="99" t="s">
        <v>1217</v>
      </c>
      <c r="I338" s="104" t="s">
        <v>991</v>
      </c>
    </row>
    <row r="339" spans="1:9" ht="51" customHeight="1">
      <c r="A339" s="81"/>
      <c r="B339" s="104" t="s">
        <v>1218</v>
      </c>
      <c r="C339" s="124">
        <v>2023</v>
      </c>
      <c r="D339" s="125">
        <v>0.4</v>
      </c>
      <c r="E339" s="98">
        <v>1</v>
      </c>
      <c r="F339" s="99">
        <v>150</v>
      </c>
      <c r="G339" s="89">
        <v>82.999359999999996</v>
      </c>
      <c r="H339" s="99" t="s">
        <v>1219</v>
      </c>
      <c r="I339" s="104" t="s">
        <v>929</v>
      </c>
    </row>
    <row r="340" spans="1:9" ht="51" customHeight="1">
      <c r="A340" s="81"/>
      <c r="B340" s="104" t="s">
        <v>1220</v>
      </c>
      <c r="C340" s="124">
        <v>2023</v>
      </c>
      <c r="D340" s="125">
        <v>0.4</v>
      </c>
      <c r="E340" s="98">
        <v>1</v>
      </c>
      <c r="F340" s="99">
        <v>150</v>
      </c>
      <c r="G340" s="89">
        <v>83.332899999999995</v>
      </c>
      <c r="H340" s="99" t="s">
        <v>1221</v>
      </c>
      <c r="I340" s="104" t="s">
        <v>943</v>
      </c>
    </row>
    <row r="341" spans="1:9" ht="51" customHeight="1">
      <c r="A341" s="81"/>
      <c r="B341" s="104" t="s">
        <v>1222</v>
      </c>
      <c r="C341" s="124">
        <v>2023</v>
      </c>
      <c r="D341" s="125">
        <v>0.4</v>
      </c>
      <c r="E341" s="98">
        <v>1</v>
      </c>
      <c r="F341" s="99">
        <v>150</v>
      </c>
      <c r="G341" s="89">
        <v>83.332899999999995</v>
      </c>
      <c r="H341" s="99" t="s">
        <v>1223</v>
      </c>
      <c r="I341" s="104" t="s">
        <v>943</v>
      </c>
    </row>
    <row r="342" spans="1:9" ht="64.5" customHeight="1">
      <c r="A342" s="81"/>
      <c r="B342" s="104" t="s">
        <v>1224</v>
      </c>
      <c r="C342" s="124">
        <v>2023</v>
      </c>
      <c r="D342" s="125">
        <v>0.4</v>
      </c>
      <c r="E342" s="98">
        <v>1</v>
      </c>
      <c r="F342" s="99">
        <v>15</v>
      </c>
      <c r="G342" s="89">
        <v>38.429850000000002</v>
      </c>
      <c r="H342" s="99" t="s">
        <v>1202</v>
      </c>
      <c r="I342" s="104" t="s">
        <v>985</v>
      </c>
    </row>
    <row r="343" spans="1:9" ht="44.25" customHeight="1">
      <c r="A343" s="122"/>
      <c r="B343" s="123" t="s">
        <v>1225</v>
      </c>
      <c r="C343" s="124">
        <v>2023</v>
      </c>
      <c r="D343" s="125">
        <v>0.4</v>
      </c>
      <c r="E343" s="98">
        <v>1</v>
      </c>
      <c r="F343" s="102">
        <v>60</v>
      </c>
      <c r="G343" s="115">
        <v>94.184070000000006</v>
      </c>
      <c r="H343" s="99" t="s">
        <v>1226</v>
      </c>
      <c r="I343" s="123" t="s">
        <v>737</v>
      </c>
    </row>
    <row r="344" spans="1:9" ht="51" customHeight="1">
      <c r="A344" s="81"/>
      <c r="B344" s="104" t="s">
        <v>1227</v>
      </c>
      <c r="C344" s="124">
        <v>2023</v>
      </c>
      <c r="D344" s="125">
        <v>0.4</v>
      </c>
      <c r="E344" s="98">
        <v>1</v>
      </c>
      <c r="F344" s="99">
        <v>98</v>
      </c>
      <c r="G344" s="89">
        <v>53.655059999999999</v>
      </c>
      <c r="H344" s="99" t="s">
        <v>1228</v>
      </c>
      <c r="I344" s="104" t="s">
        <v>971</v>
      </c>
    </row>
    <row r="345" spans="1:9" ht="63" customHeight="1">
      <c r="A345" s="81"/>
      <c r="B345" s="104" t="s">
        <v>1229</v>
      </c>
      <c r="C345" s="124">
        <v>2023</v>
      </c>
      <c r="D345" s="125">
        <v>0.4</v>
      </c>
      <c r="E345" s="98">
        <v>1</v>
      </c>
      <c r="F345" s="99">
        <v>75</v>
      </c>
      <c r="G345" s="89">
        <v>60.999849999999995</v>
      </c>
      <c r="H345" s="99" t="s">
        <v>1230</v>
      </c>
      <c r="I345" s="104" t="s">
        <v>839</v>
      </c>
    </row>
    <row r="346" spans="1:9" ht="65.25" customHeight="1">
      <c r="A346" s="81"/>
      <c r="B346" s="104" t="s">
        <v>1231</v>
      </c>
      <c r="C346" s="124">
        <v>2023</v>
      </c>
      <c r="D346" s="125">
        <v>0.4</v>
      </c>
      <c r="E346" s="98">
        <v>1</v>
      </c>
      <c r="F346" s="99">
        <v>210</v>
      </c>
      <c r="G346" s="89">
        <v>72.633369999999999</v>
      </c>
      <c r="H346" s="99" t="s">
        <v>1232</v>
      </c>
      <c r="I346" s="104" t="s">
        <v>884</v>
      </c>
    </row>
    <row r="347" spans="1:9" ht="51" customHeight="1">
      <c r="A347" s="81"/>
      <c r="B347" s="104" t="s">
        <v>1233</v>
      </c>
      <c r="C347" s="124">
        <v>2023</v>
      </c>
      <c r="D347" s="125">
        <v>0.4</v>
      </c>
      <c r="E347" s="98">
        <v>1</v>
      </c>
      <c r="F347" s="99">
        <v>65</v>
      </c>
      <c r="G347" s="89">
        <v>44.646070000000002</v>
      </c>
      <c r="H347" s="99" t="s">
        <v>1234</v>
      </c>
      <c r="I347" s="104" t="s">
        <v>842</v>
      </c>
    </row>
    <row r="348" spans="1:9" ht="51" customHeight="1">
      <c r="A348" s="81"/>
      <c r="B348" s="123" t="s">
        <v>1235</v>
      </c>
      <c r="C348" s="124">
        <v>2023</v>
      </c>
      <c r="D348" s="125">
        <v>0.4</v>
      </c>
      <c r="E348" s="98">
        <v>1</v>
      </c>
      <c r="F348" s="99">
        <v>209.11</v>
      </c>
      <c r="G348" s="115">
        <v>43.466329999999999</v>
      </c>
      <c r="H348" s="99" t="s">
        <v>1236</v>
      </c>
      <c r="I348" s="123" t="s">
        <v>905</v>
      </c>
    </row>
    <row r="349" spans="1:9" ht="51" customHeight="1">
      <c r="A349" s="81"/>
      <c r="B349" s="123" t="s">
        <v>1237</v>
      </c>
      <c r="C349" s="124">
        <v>2023</v>
      </c>
      <c r="D349" s="125">
        <v>0.4</v>
      </c>
      <c r="E349" s="98">
        <v>1</v>
      </c>
      <c r="F349" s="99">
        <v>209.11</v>
      </c>
      <c r="G349" s="115">
        <v>43.466329999999999</v>
      </c>
      <c r="H349" s="99" t="s">
        <v>1238</v>
      </c>
      <c r="I349" s="123" t="s">
        <v>905</v>
      </c>
    </row>
    <row r="350" spans="1:9" ht="60" customHeight="1">
      <c r="A350" s="81"/>
      <c r="B350" s="104" t="s">
        <v>1239</v>
      </c>
      <c r="C350" s="124">
        <v>2023</v>
      </c>
      <c r="D350" s="125">
        <v>0.4</v>
      </c>
      <c r="E350" s="98">
        <v>1</v>
      </c>
      <c r="F350" s="99">
        <v>150</v>
      </c>
      <c r="G350" s="89">
        <v>38.429850000000002</v>
      </c>
      <c r="H350" s="99" t="s">
        <v>1202</v>
      </c>
      <c r="I350" s="104" t="s">
        <v>985</v>
      </c>
    </row>
    <row r="351" spans="1:9" ht="49.5" customHeight="1">
      <c r="A351" s="122"/>
      <c r="B351" s="123" t="s">
        <v>1240</v>
      </c>
      <c r="C351" s="124">
        <v>2023</v>
      </c>
      <c r="D351" s="125">
        <v>0.4</v>
      </c>
      <c r="E351" s="98">
        <v>1</v>
      </c>
      <c r="F351" s="99">
        <v>90</v>
      </c>
      <c r="G351" s="115">
        <v>259.11288999999999</v>
      </c>
      <c r="H351" s="99" t="s">
        <v>1241</v>
      </c>
      <c r="I351" s="123" t="s">
        <v>1242</v>
      </c>
    </row>
    <row r="352" spans="1:9" ht="49.5" customHeight="1">
      <c r="A352" s="122"/>
      <c r="B352" s="123" t="s">
        <v>1243</v>
      </c>
      <c r="C352" s="124">
        <v>2023</v>
      </c>
      <c r="D352" s="125">
        <v>0.4</v>
      </c>
      <c r="E352" s="98">
        <v>1</v>
      </c>
      <c r="F352" s="99">
        <v>68</v>
      </c>
      <c r="G352" s="115">
        <v>94.285339999999991</v>
      </c>
      <c r="H352" s="99" t="s">
        <v>1244</v>
      </c>
      <c r="I352" s="123" t="s">
        <v>737</v>
      </c>
    </row>
    <row r="353" spans="1:9" ht="60" customHeight="1">
      <c r="A353" s="81"/>
      <c r="B353" s="104" t="s">
        <v>1245</v>
      </c>
      <c r="C353" s="124">
        <v>2023</v>
      </c>
      <c r="D353" s="125">
        <v>0.4</v>
      </c>
      <c r="E353" s="98">
        <v>1</v>
      </c>
      <c r="F353" s="99">
        <v>23.89</v>
      </c>
      <c r="G353" s="89">
        <v>166.73101</v>
      </c>
      <c r="H353" s="99" t="s">
        <v>1246</v>
      </c>
      <c r="I353" s="104" t="s">
        <v>771</v>
      </c>
    </row>
    <row r="354" spans="1:9" ht="51" customHeight="1">
      <c r="A354" s="81"/>
      <c r="B354" s="104" t="s">
        <v>1247</v>
      </c>
      <c r="C354" s="124">
        <v>2023</v>
      </c>
      <c r="D354" s="125">
        <v>0.4</v>
      </c>
      <c r="E354" s="98">
        <v>1</v>
      </c>
      <c r="F354" s="99">
        <v>23.89</v>
      </c>
      <c r="G354" s="89">
        <v>131.08744000000002</v>
      </c>
      <c r="H354" s="99" t="s">
        <v>1248</v>
      </c>
      <c r="I354" s="104" t="s">
        <v>771</v>
      </c>
    </row>
    <row r="355" spans="1:9" ht="51" customHeight="1">
      <c r="A355" s="81"/>
      <c r="B355" s="104" t="s">
        <v>1249</v>
      </c>
      <c r="C355" s="124">
        <v>2023</v>
      </c>
      <c r="D355" s="125">
        <v>0.4</v>
      </c>
      <c r="E355" s="98">
        <v>1</v>
      </c>
      <c r="F355" s="99">
        <v>50</v>
      </c>
      <c r="G355" s="89">
        <v>179.98738</v>
      </c>
      <c r="H355" s="99" t="s">
        <v>1250</v>
      </c>
      <c r="I355" s="104" t="s">
        <v>820</v>
      </c>
    </row>
    <row r="356" spans="1:9" ht="51" customHeight="1">
      <c r="A356" s="81"/>
      <c r="B356" s="104" t="s">
        <v>1251</v>
      </c>
      <c r="C356" s="124">
        <v>2023</v>
      </c>
      <c r="D356" s="125">
        <v>0.4</v>
      </c>
      <c r="E356" s="98">
        <v>1</v>
      </c>
      <c r="F356" s="99">
        <v>210</v>
      </c>
      <c r="G356" s="89">
        <v>109.20591</v>
      </c>
      <c r="H356" s="99" t="s">
        <v>1252</v>
      </c>
      <c r="I356" s="104" t="s">
        <v>884</v>
      </c>
    </row>
    <row r="357" spans="1:9" ht="51" customHeight="1">
      <c r="A357" s="81"/>
      <c r="B357" s="104" t="s">
        <v>1253</v>
      </c>
      <c r="C357" s="124">
        <v>2023</v>
      </c>
      <c r="D357" s="125">
        <v>0.4</v>
      </c>
      <c r="E357" s="98">
        <v>1</v>
      </c>
      <c r="F357" s="99">
        <v>150</v>
      </c>
      <c r="G357" s="89">
        <v>221.45799</v>
      </c>
      <c r="H357" s="99" t="s">
        <v>1254</v>
      </c>
      <c r="I357" s="104" t="s">
        <v>916</v>
      </c>
    </row>
    <row r="358" spans="1:9" ht="51" customHeight="1">
      <c r="A358" s="81"/>
      <c r="B358" s="123" t="s">
        <v>1255</v>
      </c>
      <c r="C358" s="124">
        <v>2023</v>
      </c>
      <c r="D358" s="125">
        <v>0.4</v>
      </c>
      <c r="E358" s="98">
        <v>1</v>
      </c>
      <c r="F358" s="99">
        <v>150</v>
      </c>
      <c r="G358" s="115">
        <v>251.04996</v>
      </c>
      <c r="H358" s="99" t="s">
        <v>1256</v>
      </c>
      <c r="I358" s="123" t="s">
        <v>741</v>
      </c>
    </row>
    <row r="359" spans="1:9" ht="51" customHeight="1">
      <c r="A359" s="119"/>
      <c r="B359" s="123" t="s">
        <v>1257</v>
      </c>
      <c r="C359" s="124">
        <v>2023</v>
      </c>
      <c r="D359" s="125">
        <v>0.4</v>
      </c>
      <c r="E359" s="98">
        <v>1</v>
      </c>
      <c r="F359" s="99">
        <v>81.8</v>
      </c>
      <c r="G359" s="115">
        <v>153.66067999999999</v>
      </c>
      <c r="H359" s="99" t="s">
        <v>1258</v>
      </c>
      <c r="I359" s="123" t="s">
        <v>850</v>
      </c>
    </row>
    <row r="360" spans="1:9" ht="51" customHeight="1">
      <c r="A360" s="81"/>
      <c r="B360" s="104" t="s">
        <v>1259</v>
      </c>
      <c r="C360" s="124">
        <v>2023</v>
      </c>
      <c r="D360" s="125">
        <v>0.4</v>
      </c>
      <c r="E360" s="98">
        <v>1</v>
      </c>
      <c r="F360" s="99">
        <v>150</v>
      </c>
      <c r="G360" s="89">
        <v>154.73337000000001</v>
      </c>
      <c r="H360" s="99" t="s">
        <v>1260</v>
      </c>
      <c r="I360" s="104" t="s">
        <v>861</v>
      </c>
    </row>
    <row r="361" spans="1:9" ht="51" customHeight="1">
      <c r="A361" s="81"/>
      <c r="B361" s="104" t="s">
        <v>1261</v>
      </c>
      <c r="C361" s="124">
        <v>2023</v>
      </c>
      <c r="D361" s="125">
        <v>0.4</v>
      </c>
      <c r="E361" s="98">
        <v>1</v>
      </c>
      <c r="F361" s="99">
        <v>150</v>
      </c>
      <c r="G361" s="89">
        <v>222.95238000000001</v>
      </c>
      <c r="H361" s="99" t="s">
        <v>1262</v>
      </c>
      <c r="I361" s="104" t="s">
        <v>894</v>
      </c>
    </row>
    <row r="362" spans="1:9" ht="51" customHeight="1">
      <c r="A362" s="81"/>
      <c r="B362" s="123" t="s">
        <v>1263</v>
      </c>
      <c r="C362" s="124">
        <v>2023</v>
      </c>
      <c r="D362" s="125">
        <v>0.4</v>
      </c>
      <c r="E362" s="98">
        <v>1</v>
      </c>
      <c r="F362" s="99">
        <v>120</v>
      </c>
      <c r="G362" s="115">
        <v>190.63129000000001</v>
      </c>
      <c r="H362" s="99" t="s">
        <v>1264</v>
      </c>
      <c r="I362" s="123" t="s">
        <v>817</v>
      </c>
    </row>
    <row r="363" spans="1:9" ht="51" customHeight="1">
      <c r="A363" s="81"/>
      <c r="B363" s="123" t="s">
        <v>1265</v>
      </c>
      <c r="C363" s="124">
        <v>2023</v>
      </c>
      <c r="D363" s="125">
        <v>0.4</v>
      </c>
      <c r="E363" s="98">
        <v>1</v>
      </c>
      <c r="F363" s="99">
        <v>150</v>
      </c>
      <c r="G363" s="115">
        <v>82.726839999999996</v>
      </c>
      <c r="H363" s="99" t="s">
        <v>1266</v>
      </c>
      <c r="I363" s="123" t="s">
        <v>876</v>
      </c>
    </row>
    <row r="364" spans="1:9" ht="51" customHeight="1">
      <c r="A364" s="119"/>
      <c r="B364" s="123" t="s">
        <v>1267</v>
      </c>
      <c r="C364" s="124">
        <v>2023</v>
      </c>
      <c r="D364" s="125">
        <v>0.4</v>
      </c>
      <c r="E364" s="98">
        <v>1</v>
      </c>
      <c r="F364" s="99">
        <v>140</v>
      </c>
      <c r="G364" s="115">
        <v>140.69718</v>
      </c>
      <c r="H364" s="99" t="s">
        <v>1268</v>
      </c>
      <c r="I364" s="123" t="s">
        <v>766</v>
      </c>
    </row>
    <row r="365" spans="1:9" ht="51" customHeight="1">
      <c r="A365" s="81"/>
      <c r="B365" s="123" t="s">
        <v>1269</v>
      </c>
      <c r="C365" s="124">
        <v>2023</v>
      </c>
      <c r="D365" s="125">
        <v>0.4</v>
      </c>
      <c r="E365" s="98">
        <v>1</v>
      </c>
      <c r="F365" s="99">
        <v>80</v>
      </c>
      <c r="G365" s="115">
        <v>192.26510999999999</v>
      </c>
      <c r="H365" s="99" t="s">
        <v>1270</v>
      </c>
      <c r="I365" s="123" t="s">
        <v>814</v>
      </c>
    </row>
    <row r="366" spans="1:9" ht="44.25" customHeight="1">
      <c r="A366" s="122"/>
      <c r="B366" s="123" t="s">
        <v>1271</v>
      </c>
      <c r="C366" s="124">
        <v>2023</v>
      </c>
      <c r="D366" s="125">
        <v>0.4</v>
      </c>
      <c r="E366" s="98">
        <v>1</v>
      </c>
      <c r="F366" s="102">
        <v>150</v>
      </c>
      <c r="G366" s="115">
        <v>231.52936</v>
      </c>
      <c r="H366" s="99" t="s">
        <v>1272</v>
      </c>
      <c r="I366" s="123" t="s">
        <v>866</v>
      </c>
    </row>
    <row r="367" spans="1:9" ht="44.25" customHeight="1">
      <c r="A367" s="122"/>
      <c r="B367" s="123" t="s">
        <v>1273</v>
      </c>
      <c r="C367" s="124">
        <v>2023</v>
      </c>
      <c r="D367" s="125">
        <v>0.4</v>
      </c>
      <c r="E367" s="98">
        <v>1</v>
      </c>
      <c r="F367" s="102">
        <v>150</v>
      </c>
      <c r="G367" s="115">
        <v>151.20766</v>
      </c>
      <c r="H367" s="99" t="s">
        <v>1274</v>
      </c>
      <c r="I367" s="123" t="s">
        <v>923</v>
      </c>
    </row>
    <row r="368" spans="1:9" ht="44.25" customHeight="1">
      <c r="A368" s="122"/>
      <c r="B368" s="123" t="s">
        <v>1275</v>
      </c>
      <c r="C368" s="124">
        <v>2023</v>
      </c>
      <c r="D368" s="125">
        <v>0.4</v>
      </c>
      <c r="E368" s="98">
        <v>1</v>
      </c>
      <c r="F368" s="102">
        <v>80</v>
      </c>
      <c r="G368" s="115">
        <v>251.13513</v>
      </c>
      <c r="H368" s="99" t="s">
        <v>1276</v>
      </c>
      <c r="I368" s="123" t="s">
        <v>842</v>
      </c>
    </row>
    <row r="369" spans="1:9" ht="44.25" customHeight="1">
      <c r="A369" s="122"/>
      <c r="B369" s="123" t="s">
        <v>1277</v>
      </c>
      <c r="C369" s="124">
        <v>2023</v>
      </c>
      <c r="D369" s="125">
        <v>0.4</v>
      </c>
      <c r="E369" s="98">
        <v>1</v>
      </c>
      <c r="F369" s="102">
        <v>120</v>
      </c>
      <c r="G369" s="115">
        <v>218.40649999999999</v>
      </c>
      <c r="H369" s="99" t="s">
        <v>1278</v>
      </c>
      <c r="I369" s="123" t="s">
        <v>873</v>
      </c>
    </row>
    <row r="370" spans="1:9" ht="44.25" customHeight="1">
      <c r="A370" s="122"/>
      <c r="B370" s="123" t="s">
        <v>1279</v>
      </c>
      <c r="C370" s="124">
        <v>2023</v>
      </c>
      <c r="D370" s="125">
        <v>0.4</v>
      </c>
      <c r="E370" s="98">
        <v>1</v>
      </c>
      <c r="F370" s="102">
        <v>100</v>
      </c>
      <c r="G370" s="115">
        <v>224.13036</v>
      </c>
      <c r="H370" s="99" t="s">
        <v>1280</v>
      </c>
      <c r="I370" s="123" t="s">
        <v>1281</v>
      </c>
    </row>
    <row r="371" spans="1:9" ht="44.25" customHeight="1">
      <c r="A371" s="122"/>
      <c r="B371" s="123" t="s">
        <v>1282</v>
      </c>
      <c r="C371" s="124">
        <v>2023</v>
      </c>
      <c r="D371" s="125">
        <v>0.4</v>
      </c>
      <c r="E371" s="98">
        <v>1</v>
      </c>
      <c r="F371" s="102">
        <v>80</v>
      </c>
      <c r="G371" s="115">
        <v>227.38015999999999</v>
      </c>
      <c r="H371" s="99" t="s">
        <v>1283</v>
      </c>
      <c r="I371" s="123" t="s">
        <v>747</v>
      </c>
    </row>
    <row r="372" spans="1:9" ht="51" customHeight="1">
      <c r="A372" s="81"/>
      <c r="B372" s="123" t="s">
        <v>1284</v>
      </c>
      <c r="C372" s="124">
        <v>2023</v>
      </c>
      <c r="D372" s="125">
        <v>0.4</v>
      </c>
      <c r="E372" s="98">
        <v>1</v>
      </c>
      <c r="F372" s="102">
        <v>150</v>
      </c>
      <c r="G372" s="115">
        <v>231.92608999999999</v>
      </c>
      <c r="H372" s="99" t="s">
        <v>1285</v>
      </c>
      <c r="I372" s="123" t="s">
        <v>804</v>
      </c>
    </row>
    <row r="373" spans="1:9" ht="51" customHeight="1">
      <c r="A373" s="119"/>
      <c r="B373" s="123" t="s">
        <v>1286</v>
      </c>
      <c r="C373" s="124">
        <v>2023</v>
      </c>
      <c r="D373" s="125">
        <v>0.4</v>
      </c>
      <c r="E373" s="98">
        <v>1</v>
      </c>
      <c r="F373" s="99">
        <v>150</v>
      </c>
      <c r="G373" s="115">
        <v>73.209059999999994</v>
      </c>
      <c r="H373" s="99" t="s">
        <v>1287</v>
      </c>
      <c r="I373" s="123" t="s">
        <v>995</v>
      </c>
    </row>
    <row r="374" spans="1:9" ht="51" customHeight="1">
      <c r="A374" s="81"/>
      <c r="B374" s="123" t="s">
        <v>1288</v>
      </c>
      <c r="C374" s="124">
        <v>2023</v>
      </c>
      <c r="D374" s="130">
        <v>0.4</v>
      </c>
      <c r="E374" s="98">
        <v>1</v>
      </c>
      <c r="F374" s="102">
        <v>100</v>
      </c>
      <c r="G374" s="115">
        <v>224.13036</v>
      </c>
      <c r="H374" s="99" t="s">
        <v>1289</v>
      </c>
      <c r="I374" s="123" t="s">
        <v>1281</v>
      </c>
    </row>
    <row r="375" spans="1:9">
      <c r="A375" s="119" t="s">
        <v>168</v>
      </c>
      <c r="B375" s="86" t="s">
        <v>1290</v>
      </c>
      <c r="C375" s="85"/>
      <c r="D375" s="81"/>
      <c r="E375" s="126">
        <f>SUM(E376:E466)</f>
        <v>1</v>
      </c>
      <c r="F375" s="126">
        <f>SUM(F376:F466)</f>
        <v>15</v>
      </c>
      <c r="G375" s="87">
        <f>SUM(G376:G466)</f>
        <v>654.10852999999997</v>
      </c>
      <c r="H375" s="127"/>
      <c r="I375" s="128"/>
    </row>
    <row r="376" spans="1:9" ht="67.5" customHeight="1">
      <c r="A376" s="122"/>
      <c r="B376" s="123" t="s">
        <v>1291</v>
      </c>
      <c r="C376" s="124">
        <v>2023</v>
      </c>
      <c r="D376" s="130">
        <v>6</v>
      </c>
      <c r="E376" s="98">
        <v>1</v>
      </c>
      <c r="F376" s="102">
        <v>15</v>
      </c>
      <c r="G376" s="115">
        <v>654.10852999999997</v>
      </c>
      <c r="H376" s="99" t="s">
        <v>1292</v>
      </c>
      <c r="I376" s="123" t="s">
        <v>1037</v>
      </c>
    </row>
    <row r="379" spans="1:9">
      <c r="A379" s="77" t="s">
        <v>724</v>
      </c>
    </row>
  </sheetData>
  <mergeCells count="2">
    <mergeCell ref="A2:I2"/>
    <mergeCell ref="H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2"/>
  <sheetViews>
    <sheetView topLeftCell="A16" zoomScale="70" zoomScaleNormal="70" workbookViewId="0">
      <selection activeCell="F152" sqref="F152"/>
    </sheetView>
  </sheetViews>
  <sheetFormatPr defaultColWidth="9.109375" defaultRowHeight="15.6"/>
  <cols>
    <col min="1" max="1" width="16.6640625" style="77" customWidth="1"/>
    <col min="2" max="2" width="58.44140625" style="131" customWidth="1"/>
    <col min="3" max="3" width="9.5546875" style="77" customWidth="1"/>
    <col min="4" max="4" width="9.5546875" style="79" customWidth="1"/>
    <col min="5" max="5" width="13.44140625" style="79" customWidth="1"/>
    <col min="6" max="6" width="14" style="79" customWidth="1"/>
    <col min="7" max="7" width="16.6640625" style="79" customWidth="1"/>
    <col min="8" max="8" width="34.6640625" style="77" customWidth="1"/>
    <col min="9" max="9" width="37.109375" style="131" customWidth="1"/>
    <col min="10" max="13" width="9.109375" style="77"/>
    <col min="14" max="14" width="11.6640625" style="77" bestFit="1" customWidth="1"/>
    <col min="15" max="16384" width="9.109375" style="77"/>
  </cols>
  <sheetData>
    <row r="1" spans="1:9" ht="93.75" customHeight="1">
      <c r="G1" s="133"/>
      <c r="H1" s="204" t="s">
        <v>103</v>
      </c>
      <c r="I1" s="204"/>
    </row>
    <row r="2" spans="1:9" ht="33.75" customHeight="1">
      <c r="A2" s="203" t="s">
        <v>1296</v>
      </c>
      <c r="B2" s="203"/>
      <c r="C2" s="203"/>
      <c r="D2" s="203"/>
      <c r="E2" s="203"/>
      <c r="F2" s="203"/>
      <c r="G2" s="203"/>
      <c r="H2" s="203"/>
      <c r="I2" s="203"/>
    </row>
    <row r="4" spans="1:9" ht="218.4">
      <c r="A4" s="81" t="s">
        <v>51</v>
      </c>
      <c r="B4" s="81" t="s">
        <v>89</v>
      </c>
      <c r="C4" s="81" t="s">
        <v>52</v>
      </c>
      <c r="D4" s="81" t="s">
        <v>53</v>
      </c>
      <c r="E4" s="81" t="s">
        <v>104</v>
      </c>
      <c r="F4" s="81" t="s">
        <v>90</v>
      </c>
      <c r="G4" s="81" t="s">
        <v>91</v>
      </c>
      <c r="H4" s="81" t="s">
        <v>105</v>
      </c>
      <c r="I4" s="81" t="s">
        <v>106</v>
      </c>
    </row>
    <row r="5" spans="1:9">
      <c r="A5" s="81">
        <v>1</v>
      </c>
      <c r="B5" s="81">
        <v>2</v>
      </c>
      <c r="C5" s="81">
        <v>3</v>
      </c>
      <c r="D5" s="81">
        <v>4</v>
      </c>
      <c r="E5" s="81">
        <v>5</v>
      </c>
      <c r="F5" s="81">
        <v>6</v>
      </c>
      <c r="G5" s="81">
        <v>7</v>
      </c>
      <c r="H5" s="81">
        <v>8</v>
      </c>
      <c r="I5" s="81">
        <v>9</v>
      </c>
    </row>
    <row r="6" spans="1:9">
      <c r="A6" s="85">
        <v>1</v>
      </c>
      <c r="B6" s="88" t="s">
        <v>54</v>
      </c>
      <c r="C6" s="85" t="s">
        <v>34</v>
      </c>
      <c r="D6" s="81" t="s">
        <v>34</v>
      </c>
      <c r="E6" s="134">
        <f>E12+E34+E36+E29</f>
        <v>11.795199999999999</v>
      </c>
      <c r="F6" s="134">
        <f t="shared" ref="F6:G6" si="0">F12+F34+F36+F29</f>
        <v>1683.5</v>
      </c>
      <c r="G6" s="134">
        <f t="shared" si="0"/>
        <v>24976.820649999998</v>
      </c>
      <c r="H6" s="85" t="s">
        <v>34</v>
      </c>
      <c r="I6" s="88" t="s">
        <v>34</v>
      </c>
    </row>
    <row r="7" spans="1:9" ht="31.2">
      <c r="A7" s="81" t="s">
        <v>55</v>
      </c>
      <c r="B7" s="91" t="s">
        <v>56</v>
      </c>
      <c r="C7" s="81" t="s">
        <v>34</v>
      </c>
      <c r="D7" s="81" t="s">
        <v>34</v>
      </c>
      <c r="E7" s="89" t="s">
        <v>34</v>
      </c>
      <c r="F7" s="90" t="s">
        <v>34</v>
      </c>
      <c r="G7" s="89" t="s">
        <v>34</v>
      </c>
      <c r="H7" s="81" t="s">
        <v>34</v>
      </c>
      <c r="I7" s="91" t="s">
        <v>34</v>
      </c>
    </row>
    <row r="8" spans="1:9" ht="31.2">
      <c r="A8" s="81" t="s">
        <v>57</v>
      </c>
      <c r="B8" s="91" t="s">
        <v>58</v>
      </c>
      <c r="C8" s="81" t="s">
        <v>34</v>
      </c>
      <c r="D8" s="81" t="s">
        <v>34</v>
      </c>
      <c r="E8" s="89" t="s">
        <v>34</v>
      </c>
      <c r="F8" s="90" t="s">
        <v>34</v>
      </c>
      <c r="G8" s="89" t="s">
        <v>34</v>
      </c>
      <c r="H8" s="81" t="s">
        <v>34</v>
      </c>
      <c r="I8" s="91" t="s">
        <v>34</v>
      </c>
    </row>
    <row r="9" spans="1:9" ht="34.5" customHeight="1">
      <c r="A9" s="81" t="s">
        <v>59</v>
      </c>
      <c r="B9" s="91" t="s">
        <v>60</v>
      </c>
      <c r="C9" s="81" t="s">
        <v>34</v>
      </c>
      <c r="D9" s="81" t="s">
        <v>34</v>
      </c>
      <c r="E9" s="89" t="s">
        <v>34</v>
      </c>
      <c r="F9" s="90" t="s">
        <v>34</v>
      </c>
      <c r="G9" s="89" t="s">
        <v>34</v>
      </c>
      <c r="H9" s="81" t="s">
        <v>34</v>
      </c>
      <c r="I9" s="91" t="s">
        <v>34</v>
      </c>
    </row>
    <row r="10" spans="1:9" ht="105.75" customHeight="1">
      <c r="A10" s="81" t="s">
        <v>61</v>
      </c>
      <c r="B10" s="112" t="s">
        <v>107</v>
      </c>
      <c r="C10" s="81"/>
      <c r="D10" s="81"/>
      <c r="E10" s="89"/>
      <c r="F10" s="90"/>
      <c r="G10" s="89"/>
      <c r="H10" s="93"/>
      <c r="I10" s="94"/>
    </row>
    <row r="11" spans="1:9" ht="30" customHeight="1">
      <c r="A11" s="81" t="s">
        <v>108</v>
      </c>
      <c r="B11" s="112" t="s">
        <v>109</v>
      </c>
      <c r="C11" s="81"/>
      <c r="D11" s="81"/>
      <c r="E11" s="89"/>
      <c r="F11" s="90"/>
      <c r="G11" s="89"/>
      <c r="H11" s="93"/>
      <c r="I11" s="94"/>
    </row>
    <row r="12" spans="1:9">
      <c r="A12" s="85" t="s">
        <v>174</v>
      </c>
      <c r="B12" s="88" t="s">
        <v>110</v>
      </c>
      <c r="C12" s="85"/>
      <c r="D12" s="81"/>
      <c r="E12" s="134">
        <f>SUM(E13:E28)</f>
        <v>8.4032</v>
      </c>
      <c r="F12" s="134">
        <f t="shared" ref="F12:G12" si="1">SUM(F13:F28)</f>
        <v>245.5</v>
      </c>
      <c r="G12" s="134">
        <f t="shared" si="1"/>
        <v>16065.28559</v>
      </c>
      <c r="H12" s="135"/>
      <c r="I12" s="136"/>
    </row>
    <row r="13" spans="1:9" ht="46.8">
      <c r="A13" s="85"/>
      <c r="B13" s="123" t="s">
        <v>1297</v>
      </c>
      <c r="C13" s="81">
        <v>2024</v>
      </c>
      <c r="D13" s="81">
        <v>0.4</v>
      </c>
      <c r="E13" s="107">
        <v>0.94599999999999995</v>
      </c>
      <c r="F13" s="138">
        <v>15</v>
      </c>
      <c r="G13" s="137">
        <v>2009.76097</v>
      </c>
      <c r="H13" s="139" t="s">
        <v>216</v>
      </c>
      <c r="I13" s="123" t="s">
        <v>1298</v>
      </c>
    </row>
    <row r="14" spans="1:9" ht="62.4">
      <c r="A14" s="85"/>
      <c r="B14" s="123" t="s">
        <v>1299</v>
      </c>
      <c r="C14" s="81">
        <v>2024</v>
      </c>
      <c r="D14" s="81">
        <v>0.4</v>
      </c>
      <c r="E14" s="107">
        <v>0.31900000000000001</v>
      </c>
      <c r="F14" s="138">
        <v>6</v>
      </c>
      <c r="G14" s="137">
        <f>559.02867+66.7378</f>
        <v>625.76647000000003</v>
      </c>
      <c r="H14" s="139" t="s">
        <v>216</v>
      </c>
      <c r="I14" s="123" t="s">
        <v>1300</v>
      </c>
    </row>
    <row r="15" spans="1:9" ht="46.8">
      <c r="A15" s="85"/>
      <c r="B15" s="123" t="s">
        <v>1301</v>
      </c>
      <c r="C15" s="81">
        <v>2024</v>
      </c>
      <c r="D15" s="81">
        <v>0.4</v>
      </c>
      <c r="E15" s="107">
        <v>0.29199999999999998</v>
      </c>
      <c r="F15" s="138">
        <v>15</v>
      </c>
      <c r="G15" s="137">
        <v>743.47288000000003</v>
      </c>
      <c r="H15" s="139" t="s">
        <v>216</v>
      </c>
      <c r="I15" s="123" t="s">
        <v>1302</v>
      </c>
    </row>
    <row r="16" spans="1:9" ht="46.8">
      <c r="A16" s="85"/>
      <c r="B16" s="123" t="s">
        <v>1303</v>
      </c>
      <c r="C16" s="81">
        <v>2024</v>
      </c>
      <c r="D16" s="81">
        <v>0.4</v>
      </c>
      <c r="E16" s="107">
        <v>0.99199999999999999</v>
      </c>
      <c r="F16" s="138">
        <v>15</v>
      </c>
      <c r="G16" s="137">
        <v>1964.37906</v>
      </c>
      <c r="H16" s="139" t="s">
        <v>111</v>
      </c>
      <c r="I16" s="123" t="s">
        <v>1304</v>
      </c>
    </row>
    <row r="17" spans="1:9" ht="46.8">
      <c r="A17" s="85"/>
      <c r="B17" s="123" t="s">
        <v>1305</v>
      </c>
      <c r="C17" s="81">
        <v>2024</v>
      </c>
      <c r="D17" s="81">
        <v>0.4</v>
      </c>
      <c r="E17" s="107">
        <v>0.67700000000000005</v>
      </c>
      <c r="F17" s="138">
        <v>15</v>
      </c>
      <c r="G17" s="137">
        <v>1662.7199700000001</v>
      </c>
      <c r="H17" s="139" t="s">
        <v>216</v>
      </c>
      <c r="I17" s="123" t="s">
        <v>1304</v>
      </c>
    </row>
    <row r="18" spans="1:9" ht="62.4">
      <c r="A18" s="85"/>
      <c r="B18" s="123" t="s">
        <v>1306</v>
      </c>
      <c r="C18" s="81">
        <v>2024</v>
      </c>
      <c r="D18" s="81">
        <v>0.4</v>
      </c>
      <c r="E18" s="107">
        <v>0.151</v>
      </c>
      <c r="F18" s="138">
        <v>50</v>
      </c>
      <c r="G18" s="137">
        <v>223.96144000000001</v>
      </c>
      <c r="H18" s="139" t="s">
        <v>111</v>
      </c>
      <c r="I18" s="123" t="s">
        <v>1307</v>
      </c>
    </row>
    <row r="19" spans="1:9" ht="47.25" customHeight="1">
      <c r="A19" s="85"/>
      <c r="B19" s="123" t="s">
        <v>1308</v>
      </c>
      <c r="C19" s="81">
        <v>2024</v>
      </c>
      <c r="D19" s="81">
        <v>0.4</v>
      </c>
      <c r="E19" s="107">
        <v>6.2799999999999995E-2</v>
      </c>
      <c r="F19" s="138">
        <v>7</v>
      </c>
      <c r="G19" s="137">
        <v>179.22569999999999</v>
      </c>
      <c r="H19" s="139" t="s">
        <v>113</v>
      </c>
      <c r="I19" s="123" t="s">
        <v>1309</v>
      </c>
    </row>
    <row r="20" spans="1:9" ht="47.25" customHeight="1">
      <c r="A20" s="85"/>
      <c r="B20" s="123" t="s">
        <v>1310</v>
      </c>
      <c r="C20" s="81">
        <v>2024</v>
      </c>
      <c r="D20" s="81">
        <v>0.4</v>
      </c>
      <c r="E20" s="107">
        <v>7.2999999999999995E-2</v>
      </c>
      <c r="F20" s="138">
        <v>11.5</v>
      </c>
      <c r="G20" s="137">
        <v>314.14803999999998</v>
      </c>
      <c r="H20" s="139" t="s">
        <v>114</v>
      </c>
      <c r="I20" s="123" t="s">
        <v>1311</v>
      </c>
    </row>
    <row r="21" spans="1:9" ht="47.25" customHeight="1">
      <c r="A21" s="85"/>
      <c r="B21" s="123" t="s">
        <v>1312</v>
      </c>
      <c r="C21" s="81">
        <v>2024</v>
      </c>
      <c r="D21" s="81">
        <v>0.4</v>
      </c>
      <c r="E21" s="107">
        <v>0.32</v>
      </c>
      <c r="F21" s="138">
        <v>15</v>
      </c>
      <c r="G21" s="137">
        <v>849.98528999999996</v>
      </c>
      <c r="H21" s="139" t="s">
        <v>216</v>
      </c>
      <c r="I21" s="123" t="s">
        <v>1313</v>
      </c>
    </row>
    <row r="22" spans="1:9" ht="47.25" customHeight="1">
      <c r="A22" s="85"/>
      <c r="B22" s="123" t="s">
        <v>1314</v>
      </c>
      <c r="C22" s="81">
        <v>2024</v>
      </c>
      <c r="D22" s="81">
        <v>0.4</v>
      </c>
      <c r="E22" s="107">
        <v>8.5999999999999993E-2</v>
      </c>
      <c r="F22" s="138">
        <v>25</v>
      </c>
      <c r="G22" s="137">
        <v>177.02385000000001</v>
      </c>
      <c r="H22" s="139" t="s">
        <v>1315</v>
      </c>
      <c r="I22" s="123" t="s">
        <v>1316</v>
      </c>
    </row>
    <row r="23" spans="1:9" ht="47.25" customHeight="1">
      <c r="A23" s="85"/>
      <c r="B23" s="123" t="s">
        <v>1317</v>
      </c>
      <c r="C23" s="81">
        <v>2024</v>
      </c>
      <c r="D23" s="81">
        <v>0.4</v>
      </c>
      <c r="E23" s="107">
        <v>0.47</v>
      </c>
      <c r="F23" s="138">
        <v>6</v>
      </c>
      <c r="G23" s="137">
        <v>1307.0549900000001</v>
      </c>
      <c r="H23" s="139" t="s">
        <v>111</v>
      </c>
      <c r="I23" s="123" t="s">
        <v>1318</v>
      </c>
    </row>
    <row r="24" spans="1:9" ht="47.25" customHeight="1">
      <c r="A24" s="85"/>
      <c r="B24" s="123" t="s">
        <v>1319</v>
      </c>
      <c r="C24" s="81">
        <v>2024</v>
      </c>
      <c r="D24" s="81">
        <v>0.4</v>
      </c>
      <c r="E24" s="107">
        <v>0.13539999999999999</v>
      </c>
      <c r="F24" s="138">
        <v>15</v>
      </c>
      <c r="G24" s="137">
        <v>279.77821999999998</v>
      </c>
      <c r="H24" s="139" t="s">
        <v>1320</v>
      </c>
      <c r="I24" s="123" t="s">
        <v>1321</v>
      </c>
    </row>
    <row r="25" spans="1:9" ht="48.75" customHeight="1">
      <c r="A25" s="85"/>
      <c r="B25" s="123" t="s">
        <v>1322</v>
      </c>
      <c r="C25" s="81">
        <v>2024</v>
      </c>
      <c r="D25" s="81">
        <v>0.4</v>
      </c>
      <c r="E25" s="107">
        <v>0.497</v>
      </c>
      <c r="F25" s="138">
        <v>15</v>
      </c>
      <c r="G25" s="137">
        <v>1751.4678899999999</v>
      </c>
      <c r="H25" s="139" t="s">
        <v>1323</v>
      </c>
      <c r="I25" s="123" t="s">
        <v>1324</v>
      </c>
    </row>
    <row r="26" spans="1:9" ht="63.75" customHeight="1">
      <c r="A26" s="85"/>
      <c r="B26" s="123" t="s">
        <v>1325</v>
      </c>
      <c r="C26" s="81">
        <v>2024</v>
      </c>
      <c r="D26" s="81">
        <v>0.4</v>
      </c>
      <c r="E26" s="107">
        <v>1.0469999999999999</v>
      </c>
      <c r="F26" s="138">
        <v>15</v>
      </c>
      <c r="G26" s="137">
        <v>1151.0233400000002</v>
      </c>
      <c r="H26" s="139" t="s">
        <v>1326</v>
      </c>
      <c r="I26" s="123" t="s">
        <v>1327</v>
      </c>
    </row>
    <row r="27" spans="1:9" ht="77.25" customHeight="1">
      <c r="A27" s="85"/>
      <c r="B27" s="123" t="s">
        <v>1328</v>
      </c>
      <c r="C27" s="81">
        <v>2024</v>
      </c>
      <c r="D27" s="81">
        <v>0.4</v>
      </c>
      <c r="E27" s="107">
        <v>1.5760000000000001</v>
      </c>
      <c r="F27" s="138">
        <v>15</v>
      </c>
      <c r="G27" s="137">
        <v>1657.24909</v>
      </c>
      <c r="H27" s="139" t="s">
        <v>216</v>
      </c>
      <c r="I27" s="123" t="s">
        <v>1327</v>
      </c>
    </row>
    <row r="28" spans="1:9" ht="48.75" customHeight="1">
      <c r="A28" s="85"/>
      <c r="B28" s="123" t="s">
        <v>1329</v>
      </c>
      <c r="C28" s="81">
        <v>2024</v>
      </c>
      <c r="D28" s="81">
        <v>0.4</v>
      </c>
      <c r="E28" s="107">
        <v>0.75900000000000001</v>
      </c>
      <c r="F28" s="138">
        <v>5</v>
      </c>
      <c r="G28" s="137">
        <v>1168.26839</v>
      </c>
      <c r="H28" s="139" t="s">
        <v>111</v>
      </c>
      <c r="I28" s="123" t="s">
        <v>1330</v>
      </c>
    </row>
    <row r="29" spans="1:9">
      <c r="A29" s="85" t="s">
        <v>174</v>
      </c>
      <c r="B29" s="88" t="s">
        <v>110</v>
      </c>
      <c r="C29" s="85"/>
      <c r="D29" s="81"/>
      <c r="E29" s="134">
        <f>SUM(E30:E33)</f>
        <v>0.159</v>
      </c>
      <c r="F29" s="134">
        <f t="shared" ref="F29:G29" si="2">SUM(F30:F33)</f>
        <v>1314</v>
      </c>
      <c r="G29" s="134">
        <f t="shared" si="2"/>
        <v>1255.62247</v>
      </c>
      <c r="H29" s="135"/>
      <c r="I29" s="136"/>
    </row>
    <row r="30" spans="1:9" ht="47.25" customHeight="1">
      <c r="A30" s="85"/>
      <c r="B30" s="123" t="s">
        <v>1331</v>
      </c>
      <c r="C30" s="81">
        <v>2024</v>
      </c>
      <c r="D30" s="81">
        <v>6</v>
      </c>
      <c r="E30" s="107">
        <v>8.9999999999999993E-3</v>
      </c>
      <c r="F30" s="138">
        <v>15</v>
      </c>
      <c r="G30" s="137">
        <v>247.00320000000002</v>
      </c>
      <c r="H30" s="139" t="s">
        <v>784</v>
      </c>
      <c r="I30" s="82" t="s">
        <v>1332</v>
      </c>
    </row>
    <row r="31" spans="1:9" ht="47.25" customHeight="1">
      <c r="A31" s="85"/>
      <c r="B31" s="123" t="s">
        <v>1333</v>
      </c>
      <c r="C31" s="81">
        <v>2024</v>
      </c>
      <c r="D31" s="81">
        <v>6</v>
      </c>
      <c r="E31" s="107">
        <v>0.01</v>
      </c>
      <c r="F31" s="138">
        <v>149</v>
      </c>
      <c r="G31" s="137">
        <v>248.31752</v>
      </c>
      <c r="H31" s="139" t="s">
        <v>784</v>
      </c>
      <c r="I31" s="82" t="s">
        <v>1334</v>
      </c>
    </row>
    <row r="32" spans="1:9" ht="47.25" customHeight="1">
      <c r="A32" s="85"/>
      <c r="B32" s="123" t="s">
        <v>1335</v>
      </c>
      <c r="C32" s="81">
        <v>2024</v>
      </c>
      <c r="D32" s="81">
        <v>6</v>
      </c>
      <c r="E32" s="107">
        <v>2.5000000000000001E-2</v>
      </c>
      <c r="F32" s="138">
        <v>150</v>
      </c>
      <c r="G32" s="137">
        <v>337.48662999999999</v>
      </c>
      <c r="H32" s="139" t="s">
        <v>784</v>
      </c>
      <c r="I32" s="82" t="s">
        <v>1336</v>
      </c>
    </row>
    <row r="33" spans="1:9" ht="47.25" customHeight="1">
      <c r="A33" s="85"/>
      <c r="B33" s="123" t="s">
        <v>1337</v>
      </c>
      <c r="C33" s="81">
        <v>2024</v>
      </c>
      <c r="D33" s="81">
        <v>6</v>
      </c>
      <c r="E33" s="107">
        <v>0.115</v>
      </c>
      <c r="F33" s="138">
        <v>1000</v>
      </c>
      <c r="G33" s="137">
        <v>422.81511999999998</v>
      </c>
      <c r="H33" s="139" t="s">
        <v>175</v>
      </c>
      <c r="I33" s="82" t="s">
        <v>1338</v>
      </c>
    </row>
    <row r="34" spans="1:9">
      <c r="A34" s="85" t="s">
        <v>793</v>
      </c>
      <c r="B34" s="88" t="s">
        <v>794</v>
      </c>
      <c r="C34" s="85"/>
      <c r="D34" s="81"/>
      <c r="E34" s="134">
        <f>E35</f>
        <v>0.26</v>
      </c>
      <c r="F34" s="134">
        <f t="shared" ref="F34:G34" si="3">F35</f>
        <v>50</v>
      </c>
      <c r="G34" s="134">
        <f t="shared" si="3"/>
        <v>743.12971000000005</v>
      </c>
      <c r="H34" s="135"/>
      <c r="I34" s="136"/>
    </row>
    <row r="35" spans="1:9" ht="54.75" customHeight="1">
      <c r="A35" s="85"/>
      <c r="B35" s="123" t="s">
        <v>1339</v>
      </c>
      <c r="C35" s="81">
        <v>2024</v>
      </c>
      <c r="D35" s="81">
        <v>0.4</v>
      </c>
      <c r="E35" s="107">
        <v>0.26</v>
      </c>
      <c r="F35" s="138">
        <v>50</v>
      </c>
      <c r="G35" s="137">
        <v>743.12971000000005</v>
      </c>
      <c r="H35" s="139" t="s">
        <v>1340</v>
      </c>
      <c r="I35" s="123" t="s">
        <v>1341</v>
      </c>
    </row>
    <row r="36" spans="1:9">
      <c r="A36" s="85" t="s">
        <v>178</v>
      </c>
      <c r="B36" s="88" t="s">
        <v>179</v>
      </c>
      <c r="C36" s="85"/>
      <c r="D36" s="81"/>
      <c r="E36" s="134">
        <f>SUM(E37:E42)</f>
        <v>2.9729999999999999</v>
      </c>
      <c r="F36" s="134">
        <f t="shared" ref="F36:G36" si="4">SUM(F37:F42)</f>
        <v>74</v>
      </c>
      <c r="G36" s="134">
        <f t="shared" si="4"/>
        <v>6912.7828799999988</v>
      </c>
      <c r="H36" s="135"/>
      <c r="I36" s="136"/>
    </row>
    <row r="37" spans="1:9" ht="68.25" customHeight="1">
      <c r="A37" s="85"/>
      <c r="B37" s="123" t="s">
        <v>1342</v>
      </c>
      <c r="C37" s="81">
        <v>2024</v>
      </c>
      <c r="D37" s="81">
        <v>0.4</v>
      </c>
      <c r="E37" s="107">
        <v>0.39800000000000002</v>
      </c>
      <c r="F37" s="138">
        <v>15</v>
      </c>
      <c r="G37" s="137">
        <f>759.94998+93.91633</f>
        <v>853.86631</v>
      </c>
      <c r="H37" s="139" t="s">
        <v>240</v>
      </c>
      <c r="I37" s="123" t="s">
        <v>1343</v>
      </c>
    </row>
    <row r="38" spans="1:9" ht="62.4">
      <c r="A38" s="85"/>
      <c r="B38" s="123" t="s">
        <v>1344</v>
      </c>
      <c r="C38" s="81">
        <v>2024</v>
      </c>
      <c r="D38" s="81">
        <v>0.4</v>
      </c>
      <c r="E38" s="107">
        <v>0.54800000000000004</v>
      </c>
      <c r="F38" s="138">
        <v>15</v>
      </c>
      <c r="G38" s="137">
        <v>1355.71513</v>
      </c>
      <c r="H38" s="139" t="s">
        <v>1345</v>
      </c>
      <c r="I38" s="123" t="s">
        <v>1346</v>
      </c>
    </row>
    <row r="39" spans="1:9" ht="64.5" customHeight="1">
      <c r="A39" s="85"/>
      <c r="B39" s="123" t="s">
        <v>1347</v>
      </c>
      <c r="C39" s="81">
        <v>2024</v>
      </c>
      <c r="D39" s="81">
        <v>0.4</v>
      </c>
      <c r="E39" s="107">
        <v>0.51400000000000001</v>
      </c>
      <c r="F39" s="138">
        <v>15</v>
      </c>
      <c r="G39" s="137">
        <v>1300.9686100000001</v>
      </c>
      <c r="H39" s="139" t="s">
        <v>240</v>
      </c>
      <c r="I39" s="123" t="s">
        <v>1332</v>
      </c>
    </row>
    <row r="40" spans="1:9" ht="48.75" customHeight="1">
      <c r="A40" s="85"/>
      <c r="B40" s="123" t="s">
        <v>1348</v>
      </c>
      <c r="C40" s="81">
        <v>2024</v>
      </c>
      <c r="D40" s="81">
        <v>0.4</v>
      </c>
      <c r="E40" s="107">
        <v>0.81899999999999995</v>
      </c>
      <c r="F40" s="138">
        <v>15</v>
      </c>
      <c r="G40" s="137">
        <v>1946.73821</v>
      </c>
      <c r="H40" s="139" t="s">
        <v>1345</v>
      </c>
      <c r="I40" s="123" t="s">
        <v>1349</v>
      </c>
    </row>
    <row r="41" spans="1:9" ht="48.75" customHeight="1">
      <c r="A41" s="85"/>
      <c r="B41" s="123" t="s">
        <v>1350</v>
      </c>
      <c r="C41" s="81">
        <v>2024</v>
      </c>
      <c r="D41" s="81">
        <v>0.4</v>
      </c>
      <c r="E41" s="107">
        <v>0.48799999999999999</v>
      </c>
      <c r="F41" s="138">
        <v>7</v>
      </c>
      <c r="G41" s="137">
        <v>1104.8710599999999</v>
      </c>
      <c r="H41" s="139" t="s">
        <v>240</v>
      </c>
      <c r="I41" s="123" t="s">
        <v>1351</v>
      </c>
    </row>
    <row r="42" spans="1:9" ht="47.25" customHeight="1">
      <c r="A42" s="85"/>
      <c r="B42" s="123" t="s">
        <v>1352</v>
      </c>
      <c r="C42" s="81">
        <v>2024</v>
      </c>
      <c r="D42" s="81">
        <v>0.4</v>
      </c>
      <c r="E42" s="107">
        <v>0.20599999999999999</v>
      </c>
      <c r="F42" s="138">
        <v>7</v>
      </c>
      <c r="G42" s="137">
        <v>350.62356</v>
      </c>
      <c r="H42" s="139" t="s">
        <v>240</v>
      </c>
      <c r="I42" s="123" t="s">
        <v>1351</v>
      </c>
    </row>
    <row r="43" spans="1:9">
      <c r="A43" s="85">
        <v>2</v>
      </c>
      <c r="B43" s="88" t="s">
        <v>62</v>
      </c>
      <c r="C43" s="85" t="s">
        <v>34</v>
      </c>
      <c r="D43" s="81" t="s">
        <v>34</v>
      </c>
      <c r="E43" s="134">
        <f>E49+E53+E66+E69+E72+E76+E79+E86+E91+E93+E99+E101+E105+E115+E120+E122+E124+E126+E129</f>
        <v>7.1000000000000014</v>
      </c>
      <c r="F43" s="134">
        <f t="shared" ref="F43:G43" si="5">F49+F53+F66+F69+F72+F76+F79+F86+F91+F93+F99+F101+F105+F115+F120+F122+F124+F126+F129</f>
        <v>11016</v>
      </c>
      <c r="G43" s="134">
        <f t="shared" si="5"/>
        <v>72988.40187999999</v>
      </c>
      <c r="H43" s="140" t="s">
        <v>34</v>
      </c>
      <c r="I43" s="88" t="s">
        <v>34</v>
      </c>
    </row>
    <row r="44" spans="1:9" ht="62.4">
      <c r="A44" s="81" t="s">
        <v>63</v>
      </c>
      <c r="B44" s="91" t="s">
        <v>180</v>
      </c>
      <c r="C44" s="81" t="s">
        <v>34</v>
      </c>
      <c r="D44" s="81" t="s">
        <v>34</v>
      </c>
      <c r="E44" s="107" t="s">
        <v>34</v>
      </c>
      <c r="F44" s="138" t="s">
        <v>34</v>
      </c>
      <c r="G44" s="89" t="s">
        <v>34</v>
      </c>
      <c r="H44" s="140" t="s">
        <v>34</v>
      </c>
      <c r="I44" s="91" t="s">
        <v>34</v>
      </c>
    </row>
    <row r="45" spans="1:9">
      <c r="A45" s="81" t="s">
        <v>64</v>
      </c>
      <c r="B45" s="91" t="s">
        <v>65</v>
      </c>
      <c r="C45" s="81" t="s">
        <v>34</v>
      </c>
      <c r="D45" s="81" t="s">
        <v>34</v>
      </c>
      <c r="E45" s="107" t="s">
        <v>34</v>
      </c>
      <c r="F45" s="138" t="s">
        <v>34</v>
      </c>
      <c r="G45" s="89" t="s">
        <v>34</v>
      </c>
      <c r="H45" s="140" t="s">
        <v>34</v>
      </c>
      <c r="I45" s="91" t="s">
        <v>34</v>
      </c>
    </row>
    <row r="46" spans="1:9" ht="31.2">
      <c r="A46" s="81" t="s">
        <v>66</v>
      </c>
      <c r="B46" s="91" t="s">
        <v>67</v>
      </c>
      <c r="C46" s="81" t="s">
        <v>34</v>
      </c>
      <c r="D46" s="81" t="s">
        <v>34</v>
      </c>
      <c r="E46" s="107" t="s">
        <v>34</v>
      </c>
      <c r="F46" s="138" t="s">
        <v>34</v>
      </c>
      <c r="G46" s="89" t="s">
        <v>34</v>
      </c>
      <c r="H46" s="140" t="s">
        <v>34</v>
      </c>
      <c r="I46" s="91" t="s">
        <v>34</v>
      </c>
    </row>
    <row r="47" spans="1:9" ht="147" customHeight="1">
      <c r="A47" s="81" t="s">
        <v>68</v>
      </c>
      <c r="B47" s="112" t="s">
        <v>115</v>
      </c>
      <c r="C47" s="81"/>
      <c r="D47" s="81"/>
      <c r="E47" s="107"/>
      <c r="F47" s="138"/>
      <c r="G47" s="89"/>
      <c r="H47" s="140"/>
      <c r="I47" s="94"/>
    </row>
    <row r="48" spans="1:9" ht="71.25" customHeight="1">
      <c r="A48" s="81" t="s">
        <v>116</v>
      </c>
      <c r="B48" s="112" t="s">
        <v>117</v>
      </c>
      <c r="C48" s="81"/>
      <c r="D48" s="81"/>
      <c r="E48" s="107"/>
      <c r="F48" s="138"/>
      <c r="G48" s="89"/>
      <c r="H48" s="140"/>
      <c r="I48" s="94"/>
    </row>
    <row r="49" spans="1:9">
      <c r="A49" s="85" t="s">
        <v>124</v>
      </c>
      <c r="B49" s="88" t="s">
        <v>823</v>
      </c>
      <c r="C49" s="85"/>
      <c r="D49" s="81"/>
      <c r="E49" s="134">
        <f>SUM(E50:E52)</f>
        <v>0.2276</v>
      </c>
      <c r="F49" s="134">
        <f t="shared" ref="F49:G49" si="6">SUM(F50:F52)</f>
        <v>60</v>
      </c>
      <c r="G49" s="134">
        <f t="shared" si="6"/>
        <v>952.67620000000022</v>
      </c>
      <c r="H49" s="135"/>
      <c r="I49" s="136"/>
    </row>
    <row r="50" spans="1:9" ht="46.8">
      <c r="A50" s="85"/>
      <c r="B50" s="123" t="s">
        <v>1353</v>
      </c>
      <c r="C50" s="81">
        <v>2024</v>
      </c>
      <c r="D50" s="81">
        <v>0.4</v>
      </c>
      <c r="E50" s="107">
        <f>0.2607-0.066</f>
        <v>0.19469999999999998</v>
      </c>
      <c r="F50" s="138">
        <v>50</v>
      </c>
      <c r="G50" s="137">
        <f>2634.8762-1780.3</f>
        <v>854.5762000000002</v>
      </c>
      <c r="H50" s="139" t="s">
        <v>1354</v>
      </c>
      <c r="I50" s="123" t="s">
        <v>1355</v>
      </c>
    </row>
    <row r="51" spans="1:9" ht="46.8">
      <c r="A51" s="85"/>
      <c r="B51" s="123" t="s">
        <v>1356</v>
      </c>
      <c r="C51" s="81">
        <v>2024</v>
      </c>
      <c r="D51" s="81">
        <v>0.4</v>
      </c>
      <c r="E51" s="107">
        <v>2.5700000000000001E-2</v>
      </c>
      <c r="F51" s="138">
        <v>5</v>
      </c>
      <c r="G51" s="137">
        <v>77.099999999999994</v>
      </c>
      <c r="H51" s="139" t="s">
        <v>1357</v>
      </c>
      <c r="I51" s="123" t="s">
        <v>1330</v>
      </c>
    </row>
    <row r="52" spans="1:9" ht="46.8">
      <c r="A52" s="85"/>
      <c r="B52" s="123" t="s">
        <v>1358</v>
      </c>
      <c r="C52" s="81">
        <v>2024</v>
      </c>
      <c r="D52" s="81">
        <v>0.4</v>
      </c>
      <c r="E52" s="107">
        <v>7.1999999999999998E-3</v>
      </c>
      <c r="F52" s="138">
        <v>5</v>
      </c>
      <c r="G52" s="137">
        <v>21</v>
      </c>
      <c r="H52" s="139" t="s">
        <v>1359</v>
      </c>
      <c r="I52" s="123" t="s">
        <v>1330</v>
      </c>
    </row>
    <row r="53" spans="1:9">
      <c r="A53" s="85" t="s">
        <v>130</v>
      </c>
      <c r="B53" s="88" t="s">
        <v>851</v>
      </c>
      <c r="C53" s="85"/>
      <c r="D53" s="81"/>
      <c r="E53" s="134">
        <f>SUM(E54:E65)</f>
        <v>1.5697999999999999</v>
      </c>
      <c r="F53" s="134">
        <f t="shared" ref="F53:G53" si="7">SUM(F54:F65)</f>
        <v>1498</v>
      </c>
      <c r="G53" s="134">
        <f t="shared" si="7"/>
        <v>7181.3765599999997</v>
      </c>
      <c r="H53" s="135"/>
      <c r="I53" s="136"/>
    </row>
    <row r="54" spans="1:9" ht="78">
      <c r="A54" s="85"/>
      <c r="B54" s="123" t="s">
        <v>1360</v>
      </c>
      <c r="C54" s="81">
        <v>2024</v>
      </c>
      <c r="D54" s="81">
        <v>0.4</v>
      </c>
      <c r="E54" s="107">
        <f>0.1392-0.043</f>
        <v>9.6199999999999994E-2</v>
      </c>
      <c r="F54" s="138">
        <v>254</v>
      </c>
      <c r="G54" s="137">
        <f>1875.69292-1118</f>
        <v>757.69291999999996</v>
      </c>
      <c r="H54" s="139" t="s">
        <v>1361</v>
      </c>
      <c r="I54" s="123" t="s">
        <v>1362</v>
      </c>
    </row>
    <row r="55" spans="1:9" ht="62.4">
      <c r="A55" s="85"/>
      <c r="B55" s="123" t="s">
        <v>1363</v>
      </c>
      <c r="C55" s="81">
        <v>2024</v>
      </c>
      <c r="D55" s="81">
        <v>0.4</v>
      </c>
      <c r="E55" s="107">
        <f>0.204-0.0404</f>
        <v>0.1636</v>
      </c>
      <c r="F55" s="138">
        <v>150</v>
      </c>
      <c r="G55" s="137">
        <f>2004.73176-1050.4</f>
        <v>954.3317599999998</v>
      </c>
      <c r="H55" s="139" t="s">
        <v>1364</v>
      </c>
      <c r="I55" s="123" t="s">
        <v>1365</v>
      </c>
    </row>
    <row r="56" spans="1:9" ht="46.8">
      <c r="A56" s="85"/>
      <c r="B56" s="123" t="s">
        <v>1366</v>
      </c>
      <c r="C56" s="81">
        <v>2024</v>
      </c>
      <c r="D56" s="81">
        <v>0.4</v>
      </c>
      <c r="E56" s="107">
        <f>0.3247-0.0912</f>
        <v>0.23349999999999999</v>
      </c>
      <c r="F56" s="138">
        <v>15</v>
      </c>
      <c r="G56" s="137">
        <f>3209.34233-2411</f>
        <v>798.34232999999995</v>
      </c>
      <c r="H56" s="139" t="s">
        <v>1367</v>
      </c>
      <c r="I56" s="123" t="s">
        <v>1324</v>
      </c>
    </row>
    <row r="57" spans="1:9" ht="46.8">
      <c r="A57" s="85"/>
      <c r="B57" s="123" t="s">
        <v>1368</v>
      </c>
      <c r="C57" s="81">
        <v>2024</v>
      </c>
      <c r="D57" s="81">
        <v>0.4</v>
      </c>
      <c r="E57" s="107">
        <f>0.3247-0.0912</f>
        <v>0.23349999999999999</v>
      </c>
      <c r="F57" s="138">
        <v>15</v>
      </c>
      <c r="G57" s="137">
        <f>1599.22026-920</f>
        <v>679.22026000000005</v>
      </c>
      <c r="H57" s="139" t="s">
        <v>1367</v>
      </c>
      <c r="I57" s="123" t="s">
        <v>1324</v>
      </c>
    </row>
    <row r="58" spans="1:9" ht="46.8">
      <c r="A58" s="85"/>
      <c r="B58" s="123" t="s">
        <v>1369</v>
      </c>
      <c r="C58" s="81">
        <v>2024</v>
      </c>
      <c r="D58" s="81">
        <v>0.4</v>
      </c>
      <c r="E58" s="107">
        <f>0.2607-0.066</f>
        <v>0.19469999999999998</v>
      </c>
      <c r="F58" s="138">
        <v>100</v>
      </c>
      <c r="G58" s="137">
        <f>2544.02614-1749</f>
        <v>795.02613999999994</v>
      </c>
      <c r="H58" s="139" t="s">
        <v>1370</v>
      </c>
      <c r="I58" s="123" t="s">
        <v>1371</v>
      </c>
    </row>
    <row r="59" spans="1:9" ht="46.8">
      <c r="A59" s="85"/>
      <c r="B59" s="123" t="s">
        <v>1372</v>
      </c>
      <c r="C59" s="81">
        <v>2024</v>
      </c>
      <c r="D59" s="81">
        <v>0.4</v>
      </c>
      <c r="E59" s="107">
        <f>0.291-0.025</f>
        <v>0.26599999999999996</v>
      </c>
      <c r="F59" s="138">
        <v>75</v>
      </c>
      <c r="G59" s="137">
        <f>1830.20158-610</f>
        <v>1220.2015799999999</v>
      </c>
      <c r="H59" s="139" t="s">
        <v>1373</v>
      </c>
      <c r="I59" s="123" t="s">
        <v>1374</v>
      </c>
    </row>
    <row r="60" spans="1:9" ht="46.8">
      <c r="A60" s="85"/>
      <c r="B60" s="123" t="s">
        <v>1375</v>
      </c>
      <c r="C60" s="81">
        <v>2024</v>
      </c>
      <c r="D60" s="81">
        <v>0.4</v>
      </c>
      <c r="E60" s="107">
        <f>0.2152-0.1567</f>
        <v>5.8499999999999996E-2</v>
      </c>
      <c r="F60" s="138">
        <v>150</v>
      </c>
      <c r="G60" s="137">
        <f>1813.50672+211.26175-1723.7</f>
        <v>301.06846999999993</v>
      </c>
      <c r="H60" s="139" t="s">
        <v>1376</v>
      </c>
      <c r="I60" s="123" t="s">
        <v>1377</v>
      </c>
    </row>
    <row r="61" spans="1:9" ht="62.4">
      <c r="A61" s="85"/>
      <c r="B61" s="123" t="s">
        <v>1378</v>
      </c>
      <c r="C61" s="81">
        <v>2024</v>
      </c>
      <c r="D61" s="81">
        <v>0.4</v>
      </c>
      <c r="E61" s="107">
        <f>0.2778-0.2195</f>
        <v>5.8299999999999991E-2</v>
      </c>
      <c r="F61" s="138">
        <v>150</v>
      </c>
      <c r="G61" s="137">
        <f>7075.40385-6704.5</f>
        <v>370.90384999999969</v>
      </c>
      <c r="H61" s="139" t="s">
        <v>1379</v>
      </c>
      <c r="I61" s="123" t="s">
        <v>1380</v>
      </c>
    </row>
    <row r="62" spans="1:9" ht="46.8">
      <c r="A62" s="85"/>
      <c r="B62" s="123" t="s">
        <v>1381</v>
      </c>
      <c r="C62" s="81">
        <v>2024</v>
      </c>
      <c r="D62" s="81">
        <v>0.4</v>
      </c>
      <c r="E62" s="107">
        <f>0.0837-0.012</f>
        <v>7.17E-2</v>
      </c>
      <c r="F62" s="138">
        <v>144.5</v>
      </c>
      <c r="G62" s="137">
        <f>490.92055-144</f>
        <v>346.92054999999999</v>
      </c>
      <c r="H62" s="139" t="s">
        <v>1382</v>
      </c>
      <c r="I62" s="123" t="s">
        <v>1383</v>
      </c>
    </row>
    <row r="63" spans="1:9" ht="46.8">
      <c r="A63" s="85"/>
      <c r="B63" s="123" t="s">
        <v>1384</v>
      </c>
      <c r="C63" s="81">
        <v>2024</v>
      </c>
      <c r="D63" s="81">
        <v>0.4</v>
      </c>
      <c r="E63" s="107">
        <f>0.0837-0.012</f>
        <v>7.17E-2</v>
      </c>
      <c r="F63" s="138">
        <v>144.5</v>
      </c>
      <c r="G63" s="137">
        <f>338.74099-144</f>
        <v>194.74099000000001</v>
      </c>
      <c r="H63" s="139" t="s">
        <v>1382</v>
      </c>
      <c r="I63" s="123" t="s">
        <v>1383</v>
      </c>
    </row>
    <row r="64" spans="1:9" ht="62.4">
      <c r="A64" s="85"/>
      <c r="B64" s="123" t="s">
        <v>1385</v>
      </c>
      <c r="C64" s="81">
        <v>2024</v>
      </c>
      <c r="D64" s="81">
        <v>0.4</v>
      </c>
      <c r="E64" s="107">
        <f>0.1983-0.1232</f>
        <v>7.51E-2</v>
      </c>
      <c r="F64" s="138">
        <v>150</v>
      </c>
      <c r="G64" s="137">
        <f>2771.47713+304.58136-2633.6</f>
        <v>442.45849000000044</v>
      </c>
      <c r="H64" s="139" t="s">
        <v>1386</v>
      </c>
      <c r="I64" s="123" t="s">
        <v>1387</v>
      </c>
    </row>
    <row r="65" spans="1:9" ht="46.8">
      <c r="A65" s="85"/>
      <c r="B65" s="123" t="s">
        <v>1388</v>
      </c>
      <c r="C65" s="81">
        <v>2024</v>
      </c>
      <c r="D65" s="81">
        <v>0.4</v>
      </c>
      <c r="E65" s="107">
        <f>0.113-0.066</f>
        <v>4.7E-2</v>
      </c>
      <c r="F65" s="138">
        <v>150</v>
      </c>
      <c r="G65" s="137">
        <f>1278.46922-958</f>
        <v>320.46921999999995</v>
      </c>
      <c r="H65" s="139" t="s">
        <v>1389</v>
      </c>
      <c r="I65" s="123" t="s">
        <v>1390</v>
      </c>
    </row>
    <row r="66" spans="1:9">
      <c r="A66" s="85" t="s">
        <v>137</v>
      </c>
      <c r="B66" s="88" t="s">
        <v>138</v>
      </c>
      <c r="C66" s="85"/>
      <c r="D66" s="81"/>
      <c r="E66" s="134">
        <f>SUM(E67:E68)</f>
        <v>0.33700000000000002</v>
      </c>
      <c r="F66" s="134">
        <f t="shared" ref="F66:G66" si="8">SUM(F67:F68)</f>
        <v>294.5</v>
      </c>
      <c r="G66" s="134">
        <f t="shared" si="8"/>
        <v>2140.3408499999996</v>
      </c>
      <c r="H66" s="135"/>
      <c r="I66" s="136"/>
    </row>
    <row r="67" spans="1:9" ht="46.8">
      <c r="A67" s="85"/>
      <c r="B67" s="123" t="s">
        <v>1391</v>
      </c>
      <c r="C67" s="81">
        <v>2024</v>
      </c>
      <c r="D67" s="81">
        <v>0.4</v>
      </c>
      <c r="E67" s="107">
        <f>0.3506-0.132</f>
        <v>0.21860000000000002</v>
      </c>
      <c r="F67" s="138">
        <v>144.5</v>
      </c>
      <c r="G67" s="137">
        <f>2995.77175-1560</f>
        <v>1435.7717499999999</v>
      </c>
      <c r="H67" s="139" t="s">
        <v>1392</v>
      </c>
      <c r="I67" s="123" t="s">
        <v>1383</v>
      </c>
    </row>
    <row r="68" spans="1:9" ht="62.4">
      <c r="A68" s="85"/>
      <c r="B68" s="123" t="s">
        <v>1393</v>
      </c>
      <c r="C68" s="81">
        <v>2024</v>
      </c>
      <c r="D68" s="81">
        <v>0.4</v>
      </c>
      <c r="E68" s="107">
        <f>0.3195-0.2011</f>
        <v>0.11840000000000001</v>
      </c>
      <c r="F68" s="138">
        <v>150</v>
      </c>
      <c r="G68" s="137">
        <f>5129.5691-4425</f>
        <v>704.56909999999971</v>
      </c>
      <c r="H68" s="139" t="s">
        <v>1394</v>
      </c>
      <c r="I68" s="123" t="s">
        <v>1395</v>
      </c>
    </row>
    <row r="69" spans="1:9">
      <c r="A69" s="85" t="s">
        <v>132</v>
      </c>
      <c r="B69" s="88" t="s">
        <v>1396</v>
      </c>
      <c r="C69" s="85"/>
      <c r="D69" s="81"/>
      <c r="E69" s="134">
        <f>SUM(E70:E71)</f>
        <v>0.42520000000000002</v>
      </c>
      <c r="F69" s="134">
        <f t="shared" ref="F69:G69" si="9">SUM(F70:F71)</f>
        <v>420</v>
      </c>
      <c r="G69" s="134">
        <f t="shared" si="9"/>
        <v>2163.0735500000001</v>
      </c>
      <c r="H69" s="135"/>
      <c r="I69" s="136"/>
    </row>
    <row r="70" spans="1:9" ht="46.8">
      <c r="A70" s="85"/>
      <c r="B70" s="123" t="s">
        <v>1397</v>
      </c>
      <c r="C70" s="81">
        <v>2024</v>
      </c>
      <c r="D70" s="81">
        <v>0.4</v>
      </c>
      <c r="E70" s="107">
        <f>0.3476-0.137</f>
        <v>0.21060000000000001</v>
      </c>
      <c r="F70" s="138">
        <v>210</v>
      </c>
      <c r="G70" s="137">
        <f>2549.62387+1994.904-3425</f>
        <v>1119.5278699999999</v>
      </c>
      <c r="H70" s="139" t="s">
        <v>1398</v>
      </c>
      <c r="I70" s="123" t="s">
        <v>1399</v>
      </c>
    </row>
    <row r="71" spans="1:9" ht="46.8">
      <c r="A71" s="85"/>
      <c r="B71" s="123" t="s">
        <v>1400</v>
      </c>
      <c r="C71" s="81">
        <v>2024</v>
      </c>
      <c r="D71" s="81">
        <v>0.4</v>
      </c>
      <c r="E71" s="107">
        <f>0.3516-0.137</f>
        <v>0.21460000000000001</v>
      </c>
      <c r="F71" s="138">
        <v>210</v>
      </c>
      <c r="G71" s="137">
        <f>2034.27268+2034.273-3025</f>
        <v>1043.5456800000002</v>
      </c>
      <c r="H71" s="139" t="s">
        <v>1401</v>
      </c>
      <c r="I71" s="123" t="s">
        <v>1399</v>
      </c>
    </row>
    <row r="72" spans="1:9">
      <c r="A72" s="85" t="s">
        <v>186</v>
      </c>
      <c r="B72" s="88" t="s">
        <v>1402</v>
      </c>
      <c r="C72" s="85"/>
      <c r="D72" s="81"/>
      <c r="E72" s="134">
        <f>SUM(E73:E75)</f>
        <v>0.61350000000000005</v>
      </c>
      <c r="F72" s="134">
        <f t="shared" ref="F72:G72" si="10">SUM(F73:F75)</f>
        <v>456</v>
      </c>
      <c r="G72" s="134">
        <f t="shared" si="10"/>
        <v>4788.9831400000003</v>
      </c>
      <c r="H72" s="135"/>
      <c r="I72" s="136"/>
    </row>
    <row r="73" spans="1:9" ht="46.8">
      <c r="A73" s="85"/>
      <c r="B73" s="123" t="s">
        <v>1403</v>
      </c>
      <c r="C73" s="81">
        <v>2024</v>
      </c>
      <c r="D73" s="81">
        <v>0.4</v>
      </c>
      <c r="E73" s="107">
        <f>0.324-0.127</f>
        <v>0.19700000000000001</v>
      </c>
      <c r="F73" s="138">
        <v>150</v>
      </c>
      <c r="G73" s="137">
        <f>1966.75664+1462.96627-2540</f>
        <v>889.72290999999996</v>
      </c>
      <c r="H73" s="139" t="s">
        <v>1404</v>
      </c>
      <c r="I73" s="123" t="s">
        <v>1405</v>
      </c>
    </row>
    <row r="74" spans="1:9" ht="46.8">
      <c r="A74" s="85"/>
      <c r="B74" s="123" t="s">
        <v>1406</v>
      </c>
      <c r="C74" s="81">
        <v>2024</v>
      </c>
      <c r="D74" s="81">
        <v>0.4</v>
      </c>
      <c r="E74" s="107">
        <f>0.1633-0.054</f>
        <v>0.10930000000000001</v>
      </c>
      <c r="F74" s="138">
        <v>200</v>
      </c>
      <c r="G74" s="137">
        <f>1488.76013+1171.49564-1242</f>
        <v>1418.2557699999998</v>
      </c>
      <c r="H74" s="139" t="s">
        <v>1407</v>
      </c>
      <c r="I74" s="123" t="s">
        <v>1408</v>
      </c>
    </row>
    <row r="75" spans="1:9" ht="46.8">
      <c r="A75" s="85"/>
      <c r="B75" s="123" t="s">
        <v>1409</v>
      </c>
      <c r="C75" s="81">
        <v>2024</v>
      </c>
      <c r="D75" s="81">
        <v>0.4</v>
      </c>
      <c r="E75" s="107">
        <f>0.3492-0.042</f>
        <v>0.30720000000000003</v>
      </c>
      <c r="F75" s="138">
        <v>106</v>
      </c>
      <c r="G75" s="137">
        <f>1978.43336+1762.5711-1260</f>
        <v>2481.0044600000001</v>
      </c>
      <c r="H75" s="139" t="s">
        <v>1410</v>
      </c>
      <c r="I75" s="123" t="s">
        <v>1411</v>
      </c>
    </row>
    <row r="76" spans="1:9">
      <c r="A76" s="85" t="s">
        <v>127</v>
      </c>
      <c r="B76" s="88" t="s">
        <v>954</v>
      </c>
      <c r="C76" s="85"/>
      <c r="D76" s="81"/>
      <c r="E76" s="134">
        <f>SUM(E77:E78)</f>
        <v>0.54570000000000007</v>
      </c>
      <c r="F76" s="134">
        <f t="shared" ref="F76:G76" si="11">SUM(F77:F78)</f>
        <v>165</v>
      </c>
      <c r="G76" s="134">
        <f t="shared" si="11"/>
        <v>1926.1356499999999</v>
      </c>
      <c r="H76" s="135"/>
      <c r="I76" s="136"/>
    </row>
    <row r="77" spans="1:9" ht="46.8">
      <c r="A77" s="85"/>
      <c r="B77" s="123" t="s">
        <v>1412</v>
      </c>
      <c r="C77" s="81">
        <v>2024</v>
      </c>
      <c r="D77" s="99">
        <v>6</v>
      </c>
      <c r="E77" s="107">
        <f>0.2657-0.111</f>
        <v>0.1547</v>
      </c>
      <c r="F77" s="138">
        <v>150</v>
      </c>
      <c r="G77" s="137">
        <f>1998.49478+229.00061-1890</f>
        <v>337.49539000000004</v>
      </c>
      <c r="H77" s="139" t="s">
        <v>1413</v>
      </c>
      <c r="I77" s="123" t="s">
        <v>1414</v>
      </c>
    </row>
    <row r="78" spans="1:9" ht="46.8">
      <c r="A78" s="85"/>
      <c r="B78" s="123" t="s">
        <v>1415</v>
      </c>
      <c r="C78" s="81">
        <v>2024</v>
      </c>
      <c r="D78" s="81">
        <v>6</v>
      </c>
      <c r="E78" s="107">
        <v>0.39100000000000001</v>
      </c>
      <c r="F78" s="138">
        <v>15</v>
      </c>
      <c r="G78" s="137">
        <v>1588.6402599999999</v>
      </c>
      <c r="H78" s="139" t="s">
        <v>1416</v>
      </c>
      <c r="I78" s="123" t="s">
        <v>1332</v>
      </c>
    </row>
    <row r="79" spans="1:9">
      <c r="A79" s="85" t="s">
        <v>135</v>
      </c>
      <c r="B79" s="88" t="s">
        <v>974</v>
      </c>
      <c r="C79" s="85"/>
      <c r="D79" s="81"/>
      <c r="E79" s="134">
        <f>SUM(E80:E85)</f>
        <v>0.66279999999999994</v>
      </c>
      <c r="F79" s="134">
        <f t="shared" ref="F79:G79" si="12">SUM(F80:F85)</f>
        <v>4570</v>
      </c>
      <c r="G79" s="134">
        <f t="shared" si="12"/>
        <v>2266.9936000000002</v>
      </c>
      <c r="H79" s="135"/>
      <c r="I79" s="136"/>
    </row>
    <row r="80" spans="1:9" ht="46.8">
      <c r="A80" s="85"/>
      <c r="B80" s="123" t="s">
        <v>1417</v>
      </c>
      <c r="C80" s="81">
        <v>2024</v>
      </c>
      <c r="D80" s="81">
        <v>6</v>
      </c>
      <c r="E80" s="107">
        <f>0.088-0.0471</f>
        <v>4.0899999999999992E-2</v>
      </c>
      <c r="F80" s="138">
        <v>150</v>
      </c>
      <c r="G80" s="137">
        <f>719.5442-517</f>
        <v>202.54420000000005</v>
      </c>
      <c r="H80" s="139" t="s">
        <v>1418</v>
      </c>
      <c r="I80" s="123" t="s">
        <v>1419</v>
      </c>
    </row>
    <row r="81" spans="1:9" ht="46.8">
      <c r="A81" s="85"/>
      <c r="B81" s="123" t="s">
        <v>1420</v>
      </c>
      <c r="C81" s="81">
        <v>2024</v>
      </c>
      <c r="D81" s="81">
        <v>6</v>
      </c>
      <c r="E81" s="107">
        <f>0.088-0.0471</f>
        <v>4.0899999999999992E-2</v>
      </c>
      <c r="F81" s="138">
        <v>150</v>
      </c>
      <c r="G81" s="137">
        <f>1318.1791-1051</f>
        <v>267.17910000000006</v>
      </c>
      <c r="H81" s="139" t="s">
        <v>1418</v>
      </c>
      <c r="I81" s="123" t="s">
        <v>1419</v>
      </c>
    </row>
    <row r="82" spans="1:9" ht="46.8">
      <c r="A82" s="85"/>
      <c r="B82" s="123" t="s">
        <v>1421</v>
      </c>
      <c r="C82" s="81">
        <v>2024</v>
      </c>
      <c r="D82" s="81">
        <v>6</v>
      </c>
      <c r="E82" s="107">
        <v>4.4699999999999997E-2</v>
      </c>
      <c r="F82" s="138">
        <v>285</v>
      </c>
      <c r="G82" s="137">
        <v>194.25826999999998</v>
      </c>
      <c r="H82" s="139" t="s">
        <v>1422</v>
      </c>
      <c r="I82" s="123" t="s">
        <v>1423</v>
      </c>
    </row>
    <row r="83" spans="1:9" ht="46.8">
      <c r="A83" s="85"/>
      <c r="B83" s="123" t="s">
        <v>1424</v>
      </c>
      <c r="C83" s="81">
        <v>2024</v>
      </c>
      <c r="D83" s="81">
        <v>6</v>
      </c>
      <c r="E83" s="107">
        <v>4.4699999999999997E-2</v>
      </c>
      <c r="F83" s="138">
        <v>285</v>
      </c>
      <c r="G83" s="137">
        <v>276.32283000000001</v>
      </c>
      <c r="H83" s="139" t="s">
        <v>1422</v>
      </c>
      <c r="I83" s="123" t="s">
        <v>1423</v>
      </c>
    </row>
    <row r="84" spans="1:9" ht="46.8">
      <c r="A84" s="85"/>
      <c r="B84" s="123" t="s">
        <v>1425</v>
      </c>
      <c r="C84" s="81">
        <v>2024</v>
      </c>
      <c r="D84" s="81">
        <v>6</v>
      </c>
      <c r="E84" s="107">
        <v>0.24379999999999999</v>
      </c>
      <c r="F84" s="138">
        <v>1850</v>
      </c>
      <c r="G84" s="137">
        <v>701.32647999999995</v>
      </c>
      <c r="H84" s="139" t="s">
        <v>1426</v>
      </c>
      <c r="I84" s="123" t="s">
        <v>1427</v>
      </c>
    </row>
    <row r="85" spans="1:9" ht="46.8">
      <c r="A85" s="85"/>
      <c r="B85" s="123" t="s">
        <v>1428</v>
      </c>
      <c r="C85" s="81">
        <v>2024</v>
      </c>
      <c r="D85" s="81">
        <v>6</v>
      </c>
      <c r="E85" s="107">
        <v>0.24779999999999999</v>
      </c>
      <c r="F85" s="138">
        <v>1850</v>
      </c>
      <c r="G85" s="137">
        <v>625.36271999999997</v>
      </c>
      <c r="H85" s="139" t="s">
        <v>1429</v>
      </c>
      <c r="I85" s="123" t="s">
        <v>1427</v>
      </c>
    </row>
    <row r="86" spans="1:9">
      <c r="A86" s="85" t="s">
        <v>140</v>
      </c>
      <c r="B86" s="88" t="s">
        <v>992</v>
      </c>
      <c r="C86" s="85"/>
      <c r="D86" s="81"/>
      <c r="E86" s="134">
        <f>SUM(E87:E90)</f>
        <v>9.0999999999999998E-2</v>
      </c>
      <c r="F86" s="134">
        <f t="shared" ref="F86:G86" si="13">SUM(F87:F90)</f>
        <v>330</v>
      </c>
      <c r="G86" s="134">
        <f t="shared" si="13"/>
        <v>1173.9800400000001</v>
      </c>
      <c r="H86" s="135"/>
      <c r="I86" s="136"/>
    </row>
    <row r="87" spans="1:9" ht="46.8">
      <c r="A87" s="85"/>
      <c r="B87" s="123" t="s">
        <v>1430</v>
      </c>
      <c r="C87" s="81">
        <v>2024</v>
      </c>
      <c r="D87" s="81">
        <v>6</v>
      </c>
      <c r="E87" s="107">
        <v>1.0999999999999999E-2</v>
      </c>
      <c r="F87" s="138">
        <v>150</v>
      </c>
      <c r="G87" s="137">
        <f>89.19471</f>
        <v>89.194710000000001</v>
      </c>
      <c r="H87" s="139" t="s">
        <v>1431</v>
      </c>
      <c r="I87" s="123" t="s">
        <v>1432</v>
      </c>
    </row>
    <row r="88" spans="1:9" ht="46.8">
      <c r="A88" s="85"/>
      <c r="B88" s="123" t="s">
        <v>1433</v>
      </c>
      <c r="C88" s="81">
        <v>2024</v>
      </c>
      <c r="D88" s="81">
        <v>6</v>
      </c>
      <c r="E88" s="107">
        <v>1.0999999999999999E-2</v>
      </c>
      <c r="F88" s="138">
        <v>150</v>
      </c>
      <c r="G88" s="137">
        <v>87.99136</v>
      </c>
      <c r="H88" s="139" t="s">
        <v>1431</v>
      </c>
      <c r="I88" s="123" t="s">
        <v>1432</v>
      </c>
    </row>
    <row r="89" spans="1:9" ht="46.8">
      <c r="A89" s="85"/>
      <c r="B89" s="123" t="s">
        <v>1434</v>
      </c>
      <c r="C89" s="81">
        <v>2024</v>
      </c>
      <c r="D89" s="81">
        <v>6</v>
      </c>
      <c r="E89" s="107">
        <f>0.0725-0.038</f>
        <v>3.4499999999999996E-2</v>
      </c>
      <c r="F89" s="138">
        <v>15</v>
      </c>
      <c r="G89" s="137">
        <f>2016.69854-1368</f>
        <v>648.69854000000009</v>
      </c>
      <c r="H89" s="139" t="s">
        <v>1435</v>
      </c>
      <c r="I89" s="123" t="s">
        <v>1436</v>
      </c>
    </row>
    <row r="90" spans="1:9" ht="46.8">
      <c r="A90" s="85"/>
      <c r="B90" s="123" t="s">
        <v>1437</v>
      </c>
      <c r="C90" s="81">
        <v>2024</v>
      </c>
      <c r="D90" s="81">
        <v>6</v>
      </c>
      <c r="E90" s="107">
        <f>0.0725-0.038</f>
        <v>3.4499999999999996E-2</v>
      </c>
      <c r="F90" s="138">
        <v>15</v>
      </c>
      <c r="G90" s="137">
        <f>1032.09543-684</f>
        <v>348.09543000000008</v>
      </c>
      <c r="H90" s="139" t="s">
        <v>1435</v>
      </c>
      <c r="I90" s="123" t="s">
        <v>1436</v>
      </c>
    </row>
    <row r="91" spans="1:9">
      <c r="A91" s="85" t="s">
        <v>136</v>
      </c>
      <c r="B91" s="88" t="s">
        <v>986</v>
      </c>
      <c r="C91" s="85"/>
      <c r="D91" s="81"/>
      <c r="E91" s="134">
        <f>E92</f>
        <v>0.35580000000000001</v>
      </c>
      <c r="F91" s="134">
        <f t="shared" ref="F91:G91" si="14">F92</f>
        <v>7</v>
      </c>
      <c r="G91" s="134">
        <f t="shared" si="14"/>
        <v>2483.5474400000003</v>
      </c>
      <c r="H91" s="135"/>
      <c r="I91" s="136"/>
    </row>
    <row r="92" spans="1:9" ht="46.8">
      <c r="A92" s="85"/>
      <c r="B92" s="123" t="s">
        <v>1438</v>
      </c>
      <c r="C92" s="81">
        <v>2024</v>
      </c>
      <c r="D92" s="81">
        <v>6</v>
      </c>
      <c r="E92" s="107">
        <f>0.41-0.0542</f>
        <v>0.35580000000000001</v>
      </c>
      <c r="F92" s="138">
        <v>7</v>
      </c>
      <c r="G92" s="137">
        <f>1946.54544+1725.002-1188</f>
        <v>2483.5474400000003</v>
      </c>
      <c r="H92" s="139" t="s">
        <v>1439</v>
      </c>
      <c r="I92" s="123" t="s">
        <v>1351</v>
      </c>
    </row>
    <row r="93" spans="1:9">
      <c r="A93" s="85" t="s">
        <v>146</v>
      </c>
      <c r="B93" s="88" t="s">
        <v>1440</v>
      </c>
      <c r="C93" s="85"/>
      <c r="D93" s="81"/>
      <c r="E93" s="134">
        <f>SUM(E94:E98)</f>
        <v>0.33790000000000003</v>
      </c>
      <c r="F93" s="134">
        <f t="shared" ref="F93:G93" si="15">SUM(F94:F98)</f>
        <v>604</v>
      </c>
      <c r="G93" s="134">
        <f t="shared" si="15"/>
        <v>3889.7</v>
      </c>
      <c r="H93" s="135"/>
      <c r="I93" s="136"/>
    </row>
    <row r="94" spans="1:9" ht="46.8">
      <c r="A94" s="85"/>
      <c r="B94" s="123" t="s">
        <v>1381</v>
      </c>
      <c r="C94" s="81">
        <v>2024</v>
      </c>
      <c r="D94" s="81">
        <v>0.4</v>
      </c>
      <c r="E94" s="107">
        <v>1.2E-2</v>
      </c>
      <c r="F94" s="138">
        <v>144.5</v>
      </c>
      <c r="G94" s="137">
        <f>E94*12000</f>
        <v>144</v>
      </c>
      <c r="H94" s="139" t="s">
        <v>1382</v>
      </c>
      <c r="I94" s="123" t="s">
        <v>1383</v>
      </c>
    </row>
    <row r="95" spans="1:9" ht="46.8">
      <c r="A95" s="85"/>
      <c r="B95" s="123" t="s">
        <v>1384</v>
      </c>
      <c r="C95" s="81">
        <v>2024</v>
      </c>
      <c r="D95" s="81">
        <v>0.4</v>
      </c>
      <c r="E95" s="107">
        <v>1.2E-2</v>
      </c>
      <c r="F95" s="138">
        <v>144.5</v>
      </c>
      <c r="G95" s="137">
        <f>E95*12000</f>
        <v>144</v>
      </c>
      <c r="H95" s="139" t="s">
        <v>1382</v>
      </c>
      <c r="I95" s="123" t="s">
        <v>1383</v>
      </c>
    </row>
    <row r="96" spans="1:9" ht="46.8">
      <c r="A96" s="85"/>
      <c r="B96" s="123" t="s">
        <v>1368</v>
      </c>
      <c r="C96" s="81">
        <v>2024</v>
      </c>
      <c r="D96" s="81">
        <v>0.4</v>
      </c>
      <c r="E96" s="107">
        <v>9.1200000000000003E-2</v>
      </c>
      <c r="F96" s="138">
        <v>15</v>
      </c>
      <c r="G96" s="137">
        <v>920</v>
      </c>
      <c r="H96" s="139" t="s">
        <v>1367</v>
      </c>
      <c r="I96" s="123" t="s">
        <v>1324</v>
      </c>
    </row>
    <row r="97" spans="1:9" ht="46.8">
      <c r="A97" s="85"/>
      <c r="B97" s="123" t="s">
        <v>1375</v>
      </c>
      <c r="C97" s="81">
        <v>2024</v>
      </c>
      <c r="D97" s="81">
        <v>0.4</v>
      </c>
      <c r="E97" s="107">
        <v>0.15670000000000001</v>
      </c>
      <c r="F97" s="138">
        <v>150</v>
      </c>
      <c r="G97" s="137">
        <v>1723.7</v>
      </c>
      <c r="H97" s="139" t="s">
        <v>1376</v>
      </c>
      <c r="I97" s="123" t="s">
        <v>1377</v>
      </c>
    </row>
    <row r="98" spans="1:9" ht="46.8">
      <c r="A98" s="85"/>
      <c r="B98" s="123" t="s">
        <v>1388</v>
      </c>
      <c r="C98" s="81">
        <v>2024</v>
      </c>
      <c r="D98" s="81">
        <v>0.4</v>
      </c>
      <c r="E98" s="107">
        <v>6.6000000000000003E-2</v>
      </c>
      <c r="F98" s="138">
        <v>150</v>
      </c>
      <c r="G98" s="137">
        <v>958</v>
      </c>
      <c r="H98" s="139" t="s">
        <v>1389</v>
      </c>
      <c r="I98" s="123" t="s">
        <v>1390</v>
      </c>
    </row>
    <row r="99" spans="1:9">
      <c r="A99" s="85" t="s">
        <v>150</v>
      </c>
      <c r="B99" s="88" t="s">
        <v>1441</v>
      </c>
      <c r="C99" s="85"/>
      <c r="D99" s="81"/>
      <c r="E99" s="134">
        <f>E100</f>
        <v>0.13200000000000001</v>
      </c>
      <c r="F99" s="134">
        <f t="shared" ref="F99:G99" si="16">F100</f>
        <v>144.5</v>
      </c>
      <c r="G99" s="134">
        <f t="shared" si="16"/>
        <v>1560</v>
      </c>
      <c r="H99" s="135"/>
      <c r="I99" s="136"/>
    </row>
    <row r="100" spans="1:9" ht="46.8">
      <c r="A100" s="85"/>
      <c r="B100" s="123" t="s">
        <v>1391</v>
      </c>
      <c r="C100" s="81">
        <v>2024</v>
      </c>
      <c r="D100" s="81">
        <v>0.4</v>
      </c>
      <c r="E100" s="107">
        <v>0.13200000000000001</v>
      </c>
      <c r="F100" s="138">
        <v>144.5</v>
      </c>
      <c r="G100" s="137">
        <v>1560</v>
      </c>
      <c r="H100" s="139" t="s">
        <v>1392</v>
      </c>
      <c r="I100" s="123" t="s">
        <v>1383</v>
      </c>
    </row>
    <row r="101" spans="1:9">
      <c r="A101" s="85" t="s">
        <v>145</v>
      </c>
      <c r="B101" s="88" t="s">
        <v>1442</v>
      </c>
      <c r="C101" s="85"/>
      <c r="D101" s="81"/>
      <c r="E101" s="134">
        <f>SUM(E102:E104)</f>
        <v>0.1595</v>
      </c>
      <c r="F101" s="134">
        <f t="shared" ref="F101:G101" si="17">SUM(F102:F104)</f>
        <v>60</v>
      </c>
      <c r="G101" s="134">
        <f t="shared" si="17"/>
        <v>3570.09485</v>
      </c>
      <c r="H101" s="135"/>
      <c r="I101" s="136"/>
    </row>
    <row r="102" spans="1:9" ht="46.8">
      <c r="A102" s="85"/>
      <c r="B102" s="123" t="s">
        <v>1353</v>
      </c>
      <c r="C102" s="81">
        <v>2024</v>
      </c>
      <c r="D102" s="81">
        <v>0.4</v>
      </c>
      <c r="E102" s="107">
        <v>6.6000000000000003E-2</v>
      </c>
      <c r="F102" s="138">
        <v>50</v>
      </c>
      <c r="G102" s="137">
        <v>1780.3</v>
      </c>
      <c r="H102" s="139" t="s">
        <v>1354</v>
      </c>
      <c r="I102" s="123" t="s">
        <v>1355</v>
      </c>
    </row>
    <row r="103" spans="1:9" ht="46.8">
      <c r="A103" s="85"/>
      <c r="B103" s="123" t="s">
        <v>1356</v>
      </c>
      <c r="C103" s="81">
        <v>2024</v>
      </c>
      <c r="D103" s="81">
        <v>0.4</v>
      </c>
      <c r="E103" s="107">
        <v>4.9299999999999997E-2</v>
      </c>
      <c r="F103" s="138">
        <v>5</v>
      </c>
      <c r="G103" s="137">
        <f>999.85163-77.1</f>
        <v>922.75162999999998</v>
      </c>
      <c r="H103" s="139" t="s">
        <v>1357</v>
      </c>
      <c r="I103" s="123" t="s">
        <v>1330</v>
      </c>
    </row>
    <row r="104" spans="1:9" ht="46.8">
      <c r="A104" s="85"/>
      <c r="B104" s="123" t="s">
        <v>1358</v>
      </c>
      <c r="C104" s="81">
        <v>2024</v>
      </c>
      <c r="D104" s="81">
        <v>0.4</v>
      </c>
      <c r="E104" s="107">
        <v>4.4200000000000003E-2</v>
      </c>
      <c r="F104" s="138">
        <v>5</v>
      </c>
      <c r="G104" s="137">
        <f>888.04322-21</f>
        <v>867.04322000000002</v>
      </c>
      <c r="H104" s="139" t="s">
        <v>1359</v>
      </c>
      <c r="I104" s="123" t="s">
        <v>1330</v>
      </c>
    </row>
    <row r="105" spans="1:9">
      <c r="A105" s="85" t="s">
        <v>147</v>
      </c>
      <c r="B105" s="88" t="s">
        <v>1004</v>
      </c>
      <c r="C105" s="85"/>
      <c r="D105" s="81"/>
      <c r="E105" s="134">
        <f>SUM(E106:E114)</f>
        <v>0.88270000000000004</v>
      </c>
      <c r="F105" s="134">
        <f t="shared" ref="F105:G105" si="18">SUM(F106:F114)</f>
        <v>1314</v>
      </c>
      <c r="G105" s="134">
        <f t="shared" si="18"/>
        <v>22726.5</v>
      </c>
      <c r="H105" s="135"/>
      <c r="I105" s="136"/>
    </row>
    <row r="106" spans="1:9" ht="78">
      <c r="A106" s="85"/>
      <c r="B106" s="123" t="s">
        <v>1360</v>
      </c>
      <c r="C106" s="81">
        <v>2024</v>
      </c>
      <c r="D106" s="81">
        <v>0.4</v>
      </c>
      <c r="E106" s="107">
        <v>4.2999999999999997E-2</v>
      </c>
      <c r="F106" s="138">
        <v>254</v>
      </c>
      <c r="G106" s="137">
        <v>1118</v>
      </c>
      <c r="H106" s="139" t="s">
        <v>1361</v>
      </c>
      <c r="I106" s="123" t="s">
        <v>1362</v>
      </c>
    </row>
    <row r="107" spans="1:9" ht="62.4">
      <c r="A107" s="85"/>
      <c r="B107" s="123" t="s">
        <v>1363</v>
      </c>
      <c r="C107" s="81">
        <v>2024</v>
      </c>
      <c r="D107" s="81">
        <v>0.4</v>
      </c>
      <c r="E107" s="107">
        <v>4.0399999999999998E-2</v>
      </c>
      <c r="F107" s="138">
        <v>150</v>
      </c>
      <c r="G107" s="137">
        <v>1050.4000000000001</v>
      </c>
      <c r="H107" s="139" t="s">
        <v>1364</v>
      </c>
      <c r="I107" s="123" t="s">
        <v>1365</v>
      </c>
    </row>
    <row r="108" spans="1:9" ht="46.8">
      <c r="A108" s="85"/>
      <c r="B108" s="123" t="s">
        <v>1397</v>
      </c>
      <c r="C108" s="81">
        <v>2024</v>
      </c>
      <c r="D108" s="81">
        <v>0.4</v>
      </c>
      <c r="E108" s="107">
        <v>0.13700000000000001</v>
      </c>
      <c r="F108" s="138">
        <v>210</v>
      </c>
      <c r="G108" s="137">
        <f>3425</f>
        <v>3425</v>
      </c>
      <c r="H108" s="139" t="s">
        <v>1398</v>
      </c>
      <c r="I108" s="123" t="s">
        <v>1399</v>
      </c>
    </row>
    <row r="109" spans="1:9" ht="46.8">
      <c r="A109" s="85"/>
      <c r="B109" s="123" t="s">
        <v>1400</v>
      </c>
      <c r="C109" s="81">
        <v>2024</v>
      </c>
      <c r="D109" s="81">
        <v>0.4</v>
      </c>
      <c r="E109" s="107">
        <v>0.13700000000000001</v>
      </c>
      <c r="F109" s="138">
        <v>210</v>
      </c>
      <c r="G109" s="137">
        <v>3025</v>
      </c>
      <c r="H109" s="139" t="s">
        <v>1401</v>
      </c>
      <c r="I109" s="123" t="s">
        <v>1399</v>
      </c>
    </row>
    <row r="110" spans="1:9" ht="46.8">
      <c r="A110" s="85"/>
      <c r="B110" s="123" t="s">
        <v>1366</v>
      </c>
      <c r="C110" s="81">
        <v>2024</v>
      </c>
      <c r="D110" s="81">
        <v>0.4</v>
      </c>
      <c r="E110" s="107">
        <v>9.1200000000000003E-2</v>
      </c>
      <c r="F110" s="138">
        <v>15</v>
      </c>
      <c r="G110" s="137">
        <v>2411</v>
      </c>
      <c r="H110" s="139" t="s">
        <v>1367</v>
      </c>
      <c r="I110" s="123" t="s">
        <v>1324</v>
      </c>
    </row>
    <row r="111" spans="1:9" ht="46.8">
      <c r="A111" s="85"/>
      <c r="B111" s="123" t="s">
        <v>1369</v>
      </c>
      <c r="C111" s="81">
        <v>2024</v>
      </c>
      <c r="D111" s="81">
        <v>0.4</v>
      </c>
      <c r="E111" s="107">
        <v>6.6000000000000003E-2</v>
      </c>
      <c r="F111" s="138">
        <v>100</v>
      </c>
      <c r="G111" s="137">
        <v>1749</v>
      </c>
      <c r="H111" s="139" t="s">
        <v>1370</v>
      </c>
      <c r="I111" s="123" t="s">
        <v>1371</v>
      </c>
    </row>
    <row r="112" spans="1:9" ht="46.8">
      <c r="A112" s="85"/>
      <c r="B112" s="123" t="s">
        <v>1372</v>
      </c>
      <c r="C112" s="81">
        <v>2024</v>
      </c>
      <c r="D112" s="81">
        <v>0.4</v>
      </c>
      <c r="E112" s="107">
        <v>2.5399999999999999E-2</v>
      </c>
      <c r="F112" s="138">
        <v>75</v>
      </c>
      <c r="G112" s="137">
        <v>610</v>
      </c>
      <c r="H112" s="139" t="s">
        <v>1373</v>
      </c>
      <c r="I112" s="123" t="s">
        <v>1374</v>
      </c>
    </row>
    <row r="113" spans="1:9" ht="62.4">
      <c r="A113" s="85"/>
      <c r="B113" s="123" t="s">
        <v>1378</v>
      </c>
      <c r="C113" s="81">
        <v>2024</v>
      </c>
      <c r="D113" s="81">
        <v>0.4</v>
      </c>
      <c r="E113" s="107">
        <v>0.2195</v>
      </c>
      <c r="F113" s="138">
        <v>150</v>
      </c>
      <c r="G113" s="137">
        <v>6704.5</v>
      </c>
      <c r="H113" s="139" t="s">
        <v>1379</v>
      </c>
      <c r="I113" s="123" t="s">
        <v>1380</v>
      </c>
    </row>
    <row r="114" spans="1:9" ht="62.4">
      <c r="A114" s="85"/>
      <c r="B114" s="123" t="s">
        <v>1385</v>
      </c>
      <c r="C114" s="81">
        <v>2024</v>
      </c>
      <c r="D114" s="81">
        <v>0.4</v>
      </c>
      <c r="E114" s="107">
        <v>0.1232</v>
      </c>
      <c r="F114" s="138">
        <v>150</v>
      </c>
      <c r="G114" s="137">
        <v>2633.6</v>
      </c>
      <c r="H114" s="139" t="s">
        <v>1386</v>
      </c>
      <c r="I114" s="123" t="s">
        <v>1387</v>
      </c>
    </row>
    <row r="115" spans="1:9">
      <c r="A115" s="85" t="s">
        <v>151</v>
      </c>
      <c r="B115" s="88" t="s">
        <v>1443</v>
      </c>
      <c r="C115" s="85"/>
      <c r="D115" s="81"/>
      <c r="E115" s="134">
        <f>SUM(E116:E119)</f>
        <v>0.42409999999999998</v>
      </c>
      <c r="F115" s="134">
        <f t="shared" ref="F115:G115" si="19">SUM(F116:F119)</f>
        <v>606</v>
      </c>
      <c r="G115" s="134">
        <f t="shared" si="19"/>
        <v>9467</v>
      </c>
      <c r="H115" s="135"/>
      <c r="I115" s="136"/>
    </row>
    <row r="116" spans="1:9" ht="62.4">
      <c r="A116" s="85"/>
      <c r="B116" s="123" t="s">
        <v>1393</v>
      </c>
      <c r="C116" s="81">
        <v>2024</v>
      </c>
      <c r="D116" s="81">
        <v>0.4</v>
      </c>
      <c r="E116" s="107">
        <f>0.2011</f>
        <v>0.2011</v>
      </c>
      <c r="F116" s="138">
        <v>150</v>
      </c>
      <c r="G116" s="137">
        <v>4425</v>
      </c>
      <c r="H116" s="139" t="s">
        <v>1394</v>
      </c>
      <c r="I116" s="123" t="s">
        <v>1395</v>
      </c>
    </row>
    <row r="117" spans="1:9" ht="46.8">
      <c r="A117" s="85"/>
      <c r="B117" s="123" t="s">
        <v>1403</v>
      </c>
      <c r="C117" s="81">
        <v>2024</v>
      </c>
      <c r="D117" s="81">
        <v>0.4</v>
      </c>
      <c r="E117" s="107">
        <v>0.127</v>
      </c>
      <c r="F117" s="138">
        <v>150</v>
      </c>
      <c r="G117" s="137">
        <v>2540</v>
      </c>
      <c r="H117" s="139" t="s">
        <v>1404</v>
      </c>
      <c r="I117" s="123" t="s">
        <v>1405</v>
      </c>
    </row>
    <row r="118" spans="1:9" ht="46.8">
      <c r="A118" s="85"/>
      <c r="B118" s="123" t="s">
        <v>1406</v>
      </c>
      <c r="C118" s="81">
        <v>2024</v>
      </c>
      <c r="D118" s="81">
        <v>0.4</v>
      </c>
      <c r="E118" s="107">
        <v>5.3999999999999999E-2</v>
      </c>
      <c r="F118" s="138">
        <v>200</v>
      </c>
      <c r="G118" s="137">
        <v>1242</v>
      </c>
      <c r="H118" s="139" t="s">
        <v>1407</v>
      </c>
      <c r="I118" s="123" t="s">
        <v>1408</v>
      </c>
    </row>
    <row r="119" spans="1:9" ht="46.8">
      <c r="A119" s="85"/>
      <c r="B119" s="123" t="s">
        <v>1409</v>
      </c>
      <c r="C119" s="81">
        <v>2024</v>
      </c>
      <c r="D119" s="81">
        <v>0.4</v>
      </c>
      <c r="E119" s="107">
        <v>4.2000000000000003E-2</v>
      </c>
      <c r="F119" s="138">
        <v>106</v>
      </c>
      <c r="G119" s="137">
        <v>1260</v>
      </c>
      <c r="H119" s="139" t="s">
        <v>1410</v>
      </c>
      <c r="I119" s="123" t="s">
        <v>1411</v>
      </c>
    </row>
    <row r="120" spans="1:9">
      <c r="A120" s="85" t="s">
        <v>148</v>
      </c>
      <c r="B120" s="88" t="s">
        <v>1444</v>
      </c>
      <c r="C120" s="85"/>
      <c r="D120" s="81"/>
      <c r="E120" s="134">
        <f>E121</f>
        <v>4.7100000000000003E-2</v>
      </c>
      <c r="F120" s="134">
        <f t="shared" ref="F120:G120" si="20">F121</f>
        <v>150</v>
      </c>
      <c r="G120" s="134">
        <f t="shared" si="20"/>
        <v>517</v>
      </c>
      <c r="H120" s="135"/>
      <c r="I120" s="136"/>
    </row>
    <row r="121" spans="1:9" ht="46.8">
      <c r="A121" s="85"/>
      <c r="B121" s="123" t="s">
        <v>1417</v>
      </c>
      <c r="C121" s="81">
        <v>2024</v>
      </c>
      <c r="D121" s="81">
        <v>6</v>
      </c>
      <c r="E121" s="107">
        <f>0.0471</f>
        <v>4.7100000000000003E-2</v>
      </c>
      <c r="F121" s="138">
        <v>150</v>
      </c>
      <c r="G121" s="137">
        <v>517</v>
      </c>
      <c r="H121" s="139" t="s">
        <v>1418</v>
      </c>
      <c r="I121" s="123" t="s">
        <v>1419</v>
      </c>
    </row>
    <row r="122" spans="1:9">
      <c r="A122" s="85" t="s">
        <v>152</v>
      </c>
      <c r="B122" s="88" t="s">
        <v>1445</v>
      </c>
      <c r="C122" s="85"/>
      <c r="D122" s="81"/>
      <c r="E122" s="134">
        <f>E123</f>
        <v>3.7999999999999999E-2</v>
      </c>
      <c r="F122" s="134">
        <f t="shared" ref="F122:G122" si="21">F123</f>
        <v>15</v>
      </c>
      <c r="G122" s="134">
        <f t="shared" si="21"/>
        <v>684</v>
      </c>
      <c r="H122" s="135"/>
      <c r="I122" s="136"/>
    </row>
    <row r="123" spans="1:9" ht="46.8">
      <c r="A123" s="85"/>
      <c r="B123" s="123" t="s">
        <v>1437</v>
      </c>
      <c r="C123" s="81">
        <v>2024</v>
      </c>
      <c r="D123" s="81">
        <v>6</v>
      </c>
      <c r="E123" s="107">
        <v>3.7999999999999999E-2</v>
      </c>
      <c r="F123" s="138">
        <v>15</v>
      </c>
      <c r="G123" s="137">
        <v>684</v>
      </c>
      <c r="H123" s="139" t="s">
        <v>1435</v>
      </c>
      <c r="I123" s="123" t="s">
        <v>1436</v>
      </c>
    </row>
    <row r="124" spans="1:9">
      <c r="A124" s="85" t="s">
        <v>1013</v>
      </c>
      <c r="B124" s="88" t="s">
        <v>1014</v>
      </c>
      <c r="C124" s="85"/>
      <c r="D124" s="81"/>
      <c r="E124" s="134">
        <f>E125</f>
        <v>0.111</v>
      </c>
      <c r="F124" s="134">
        <f t="shared" ref="F124:G124" si="22">F125</f>
        <v>150</v>
      </c>
      <c r="G124" s="134">
        <f t="shared" si="22"/>
        <v>1890</v>
      </c>
      <c r="H124" s="135"/>
      <c r="I124" s="136"/>
    </row>
    <row r="125" spans="1:9" ht="46.8">
      <c r="A125" s="85"/>
      <c r="B125" s="123" t="s">
        <v>1412</v>
      </c>
      <c r="C125" s="81">
        <v>2024</v>
      </c>
      <c r="D125" s="99">
        <v>6</v>
      </c>
      <c r="E125" s="107">
        <v>0.111</v>
      </c>
      <c r="F125" s="138">
        <v>150</v>
      </c>
      <c r="G125" s="137">
        <v>1890</v>
      </c>
      <c r="H125" s="139" t="s">
        <v>1413</v>
      </c>
      <c r="I125" s="123" t="s">
        <v>1414</v>
      </c>
    </row>
    <row r="126" spans="1:9">
      <c r="A126" s="85" t="s">
        <v>149</v>
      </c>
      <c r="B126" s="88" t="s">
        <v>1016</v>
      </c>
      <c r="C126" s="85"/>
      <c r="D126" s="81"/>
      <c r="E126" s="134">
        <f>SUM(E127:E128)</f>
        <v>0.1013</v>
      </c>
      <c r="F126" s="134">
        <f t="shared" ref="F126:G126" si="23">SUM(F127:F128)</f>
        <v>157</v>
      </c>
      <c r="G126" s="134">
        <f t="shared" si="23"/>
        <v>2239</v>
      </c>
      <c r="H126" s="135"/>
      <c r="I126" s="136"/>
    </row>
    <row r="127" spans="1:9" ht="46.8">
      <c r="A127" s="85"/>
      <c r="B127" s="123" t="s">
        <v>1420</v>
      </c>
      <c r="C127" s="81">
        <v>2024</v>
      </c>
      <c r="D127" s="81">
        <v>6</v>
      </c>
      <c r="E127" s="107">
        <f>0.0471</f>
        <v>4.7100000000000003E-2</v>
      </c>
      <c r="F127" s="138">
        <v>150</v>
      </c>
      <c r="G127" s="137">
        <v>1051</v>
      </c>
      <c r="H127" s="139" t="s">
        <v>1418</v>
      </c>
      <c r="I127" s="123" t="s">
        <v>1419</v>
      </c>
    </row>
    <row r="128" spans="1:9" ht="46.8">
      <c r="A128" s="85"/>
      <c r="B128" s="123" t="s">
        <v>1438</v>
      </c>
      <c r="C128" s="81">
        <v>2024</v>
      </c>
      <c r="D128" s="81">
        <v>6</v>
      </c>
      <c r="E128" s="107">
        <f>0.0542</f>
        <v>5.4199999999999998E-2</v>
      </c>
      <c r="F128" s="138">
        <v>7</v>
      </c>
      <c r="G128" s="137">
        <v>1188</v>
      </c>
      <c r="H128" s="139" t="s">
        <v>1439</v>
      </c>
      <c r="I128" s="123" t="s">
        <v>1351</v>
      </c>
    </row>
    <row r="129" spans="1:13">
      <c r="A129" s="85" t="s">
        <v>1446</v>
      </c>
      <c r="B129" s="88" t="s">
        <v>1447</v>
      </c>
      <c r="C129" s="85"/>
      <c r="D129" s="81"/>
      <c r="E129" s="134">
        <f>E130</f>
        <v>3.7999999999999999E-2</v>
      </c>
      <c r="F129" s="134">
        <f t="shared" ref="F129:G129" si="24">F130</f>
        <v>15</v>
      </c>
      <c r="G129" s="134">
        <f t="shared" si="24"/>
        <v>1368</v>
      </c>
      <c r="H129" s="135"/>
      <c r="I129" s="136"/>
    </row>
    <row r="130" spans="1:13" ht="46.8">
      <c r="A130" s="85"/>
      <c r="B130" s="123" t="s">
        <v>1434</v>
      </c>
      <c r="C130" s="81">
        <v>2024</v>
      </c>
      <c r="D130" s="81">
        <v>6</v>
      </c>
      <c r="E130" s="107">
        <v>3.7999999999999999E-2</v>
      </c>
      <c r="F130" s="138">
        <v>15</v>
      </c>
      <c r="G130" s="137">
        <v>1368</v>
      </c>
      <c r="H130" s="139" t="s">
        <v>1435</v>
      </c>
      <c r="I130" s="123" t="s">
        <v>1436</v>
      </c>
    </row>
    <row r="131" spans="1:13">
      <c r="A131" s="85">
        <v>3</v>
      </c>
      <c r="B131" s="88" t="s">
        <v>69</v>
      </c>
      <c r="C131" s="85" t="s">
        <v>34</v>
      </c>
      <c r="D131" s="81" t="s">
        <v>34</v>
      </c>
      <c r="E131" s="134">
        <v>0</v>
      </c>
      <c r="F131" s="141">
        <v>0</v>
      </c>
      <c r="G131" s="87">
        <v>0</v>
      </c>
      <c r="H131" s="142" t="s">
        <v>34</v>
      </c>
      <c r="I131" s="88" t="s">
        <v>34</v>
      </c>
    </row>
    <row r="132" spans="1:13" ht="156">
      <c r="A132" s="81" t="s">
        <v>70</v>
      </c>
      <c r="B132" s="91" t="s">
        <v>153</v>
      </c>
      <c r="C132" s="81" t="s">
        <v>34</v>
      </c>
      <c r="D132" s="81" t="s">
        <v>34</v>
      </c>
      <c r="E132" s="107" t="s">
        <v>34</v>
      </c>
      <c r="F132" s="138" t="s">
        <v>34</v>
      </c>
      <c r="G132" s="89" t="s">
        <v>34</v>
      </c>
      <c r="H132" s="139" t="s">
        <v>34</v>
      </c>
      <c r="I132" s="91" t="s">
        <v>34</v>
      </c>
    </row>
    <row r="133" spans="1:13" ht="66" customHeight="1">
      <c r="A133" s="81" t="s">
        <v>71</v>
      </c>
      <c r="B133" s="112" t="s">
        <v>154</v>
      </c>
      <c r="C133" s="81"/>
      <c r="D133" s="81"/>
      <c r="E133" s="107"/>
      <c r="F133" s="138"/>
      <c r="G133" s="89"/>
      <c r="H133" s="143"/>
      <c r="I133" s="94"/>
    </row>
    <row r="134" spans="1:13" ht="78">
      <c r="A134" s="81" t="s">
        <v>155</v>
      </c>
      <c r="B134" s="91" t="s">
        <v>156</v>
      </c>
      <c r="C134" s="81"/>
      <c r="D134" s="81"/>
      <c r="E134" s="107"/>
      <c r="F134" s="138"/>
      <c r="G134" s="89"/>
      <c r="H134" s="143"/>
      <c r="I134" s="94"/>
    </row>
    <row r="135" spans="1:13">
      <c r="A135" s="81" t="s">
        <v>72</v>
      </c>
      <c r="B135" s="91" t="s">
        <v>73</v>
      </c>
      <c r="C135" s="81"/>
      <c r="D135" s="81"/>
      <c r="E135" s="107"/>
      <c r="F135" s="138"/>
      <c r="G135" s="89"/>
      <c r="H135" s="143"/>
      <c r="I135" s="94"/>
    </row>
    <row r="136" spans="1:13" ht="31.2">
      <c r="A136" s="85">
        <v>4</v>
      </c>
      <c r="B136" s="88" t="s">
        <v>191</v>
      </c>
      <c r="C136" s="85" t="s">
        <v>34</v>
      </c>
      <c r="D136" s="81" t="s">
        <v>34</v>
      </c>
      <c r="E136" s="134">
        <f>E141+E143+E151+E153</f>
        <v>11</v>
      </c>
      <c r="F136" s="134">
        <f t="shared" ref="F136:G136" si="25">F141+F143+F151+F153</f>
        <v>2821</v>
      </c>
      <c r="G136" s="134">
        <f t="shared" si="25"/>
        <v>53068.672839999999</v>
      </c>
      <c r="H136" s="142" t="s">
        <v>34</v>
      </c>
      <c r="I136" s="88" t="s">
        <v>34</v>
      </c>
    </row>
    <row r="137" spans="1:13" ht="78">
      <c r="A137" s="81" t="s">
        <v>74</v>
      </c>
      <c r="B137" s="91" t="s">
        <v>157</v>
      </c>
      <c r="C137" s="81" t="s">
        <v>34</v>
      </c>
      <c r="D137" s="81" t="s">
        <v>34</v>
      </c>
      <c r="E137" s="107" t="s">
        <v>34</v>
      </c>
      <c r="F137" s="138" t="s">
        <v>34</v>
      </c>
      <c r="G137" s="89" t="s">
        <v>34</v>
      </c>
      <c r="H137" s="139" t="s">
        <v>34</v>
      </c>
      <c r="I137" s="91" t="s">
        <v>34</v>
      </c>
    </row>
    <row r="138" spans="1:13" ht="38.25" customHeight="1">
      <c r="A138" s="81" t="s">
        <v>75</v>
      </c>
      <c r="B138" s="91" t="s">
        <v>76</v>
      </c>
      <c r="C138" s="81" t="s">
        <v>34</v>
      </c>
      <c r="D138" s="81" t="s">
        <v>34</v>
      </c>
      <c r="E138" s="107" t="s">
        <v>34</v>
      </c>
      <c r="F138" s="138" t="s">
        <v>34</v>
      </c>
      <c r="G138" s="89" t="s">
        <v>34</v>
      </c>
      <c r="H138" s="139" t="s">
        <v>34</v>
      </c>
      <c r="I138" s="91" t="s">
        <v>34</v>
      </c>
    </row>
    <row r="139" spans="1:13" ht="189" customHeight="1">
      <c r="A139" s="81" t="s">
        <v>77</v>
      </c>
      <c r="B139" s="91" t="s">
        <v>192</v>
      </c>
      <c r="C139" s="81"/>
      <c r="D139" s="81"/>
      <c r="E139" s="107"/>
      <c r="F139" s="138"/>
      <c r="G139" s="89"/>
      <c r="H139" s="143"/>
      <c r="I139" s="94"/>
    </row>
    <row r="140" spans="1:13" ht="54" customHeight="1">
      <c r="A140" s="81" t="s">
        <v>158</v>
      </c>
      <c r="B140" s="112" t="s">
        <v>193</v>
      </c>
      <c r="C140" s="81"/>
      <c r="D140" s="81"/>
      <c r="E140" s="107"/>
      <c r="F140" s="138"/>
      <c r="G140" s="89"/>
      <c r="H140" s="143"/>
      <c r="I140" s="94"/>
    </row>
    <row r="141" spans="1:13">
      <c r="A141" s="85" t="s">
        <v>1025</v>
      </c>
      <c r="B141" s="88" t="s">
        <v>1026</v>
      </c>
      <c r="C141" s="85"/>
      <c r="D141" s="81"/>
      <c r="E141" s="134">
        <f>E142</f>
        <v>1</v>
      </c>
      <c r="F141" s="134">
        <f t="shared" ref="F141:G141" si="26">F142</f>
        <v>50</v>
      </c>
      <c r="G141" s="134">
        <f t="shared" si="26"/>
        <v>1149.85618</v>
      </c>
      <c r="H141" s="135"/>
      <c r="I141" s="136"/>
    </row>
    <row r="142" spans="1:13" ht="50.25" customHeight="1">
      <c r="A142" s="85"/>
      <c r="B142" s="123" t="s">
        <v>1448</v>
      </c>
      <c r="C142" s="81">
        <v>2024</v>
      </c>
      <c r="D142" s="81">
        <v>10</v>
      </c>
      <c r="E142" s="107">
        <v>1</v>
      </c>
      <c r="F142" s="138">
        <v>50</v>
      </c>
      <c r="G142" s="137">
        <f>(942375.91+207480.27)/1000</f>
        <v>1149.85618</v>
      </c>
      <c r="H142" s="139" t="s">
        <v>1449</v>
      </c>
      <c r="I142" s="123" t="s">
        <v>1450</v>
      </c>
      <c r="J142" s="205"/>
      <c r="K142" s="206"/>
      <c r="L142" s="206"/>
      <c r="M142" s="206"/>
    </row>
    <row r="143" spans="1:13">
      <c r="A143" s="85" t="s">
        <v>159</v>
      </c>
      <c r="B143" s="88" t="s">
        <v>160</v>
      </c>
      <c r="C143" s="85"/>
      <c r="D143" s="81"/>
      <c r="E143" s="134">
        <f>SUM(E144:E150)</f>
        <v>7</v>
      </c>
      <c r="F143" s="134">
        <f t="shared" ref="F143:G143" si="27">SUM(F144:F150)</f>
        <v>906</v>
      </c>
      <c r="G143" s="134">
        <f t="shared" si="27"/>
        <v>11458.13314</v>
      </c>
      <c r="H143" s="135"/>
      <c r="I143" s="136"/>
    </row>
    <row r="144" spans="1:13" ht="50.25" customHeight="1">
      <c r="A144" s="85"/>
      <c r="B144" s="123" t="s">
        <v>1451</v>
      </c>
      <c r="C144" s="81">
        <v>2024</v>
      </c>
      <c r="D144" s="81">
        <v>6</v>
      </c>
      <c r="E144" s="107">
        <v>1</v>
      </c>
      <c r="F144" s="138">
        <v>150</v>
      </c>
      <c r="G144" s="137">
        <f>(1555298.92+438703.06)/1000</f>
        <v>1994.00198</v>
      </c>
      <c r="H144" s="139" t="s">
        <v>1452</v>
      </c>
      <c r="I144" s="123" t="s">
        <v>1419</v>
      </c>
      <c r="J144" s="205"/>
      <c r="K144" s="206"/>
      <c r="L144" s="206"/>
      <c r="M144" s="206"/>
    </row>
    <row r="145" spans="1:13" ht="50.25" customHeight="1">
      <c r="A145" s="85"/>
      <c r="B145" s="123" t="s">
        <v>1453</v>
      </c>
      <c r="C145" s="81">
        <v>2024</v>
      </c>
      <c r="D145" s="81">
        <v>6</v>
      </c>
      <c r="E145" s="107">
        <v>1</v>
      </c>
      <c r="F145" s="138">
        <v>7</v>
      </c>
      <c r="G145" s="137">
        <f>(1541825.55+383032.03)/1000</f>
        <v>1924.8575800000001</v>
      </c>
      <c r="H145" s="139" t="s">
        <v>1454</v>
      </c>
      <c r="I145" s="123" t="s">
        <v>1351</v>
      </c>
      <c r="J145" s="205"/>
      <c r="K145" s="206"/>
      <c r="L145" s="206"/>
      <c r="M145" s="206"/>
    </row>
    <row r="146" spans="1:13" ht="50.25" customHeight="1">
      <c r="A146" s="85"/>
      <c r="B146" s="123" t="s">
        <v>1455</v>
      </c>
      <c r="C146" s="81">
        <v>2024</v>
      </c>
      <c r="D146" s="81">
        <v>6</v>
      </c>
      <c r="E146" s="107">
        <v>1</v>
      </c>
      <c r="F146" s="138">
        <v>285</v>
      </c>
      <c r="G146" s="137">
        <f>(1243850.94+249708.75)/1000</f>
        <v>1493.55969</v>
      </c>
      <c r="H146" s="139" t="s">
        <v>1456</v>
      </c>
      <c r="I146" s="123" t="s">
        <v>1423</v>
      </c>
      <c r="J146" s="205"/>
      <c r="K146" s="206"/>
      <c r="L146" s="206"/>
      <c r="M146" s="206"/>
    </row>
    <row r="147" spans="1:13" ht="50.25" customHeight="1">
      <c r="A147" s="85"/>
      <c r="B147" s="123" t="s">
        <v>1457</v>
      </c>
      <c r="C147" s="81">
        <v>2024</v>
      </c>
      <c r="D147" s="81">
        <v>6</v>
      </c>
      <c r="E147" s="107">
        <v>1</v>
      </c>
      <c r="F147" s="138">
        <v>15</v>
      </c>
      <c r="G147" s="137">
        <f>(1649458.22+607232.87)/1000</f>
        <v>2256.6910899999998</v>
      </c>
      <c r="H147" s="139" t="s">
        <v>1458</v>
      </c>
      <c r="I147" s="123" t="s">
        <v>1332</v>
      </c>
      <c r="J147" s="205"/>
      <c r="K147" s="206"/>
      <c r="L147" s="206"/>
      <c r="M147" s="206"/>
    </row>
    <row r="148" spans="1:13" ht="50.25" customHeight="1">
      <c r="A148" s="85"/>
      <c r="B148" s="123" t="s">
        <v>1459</v>
      </c>
      <c r="C148" s="81">
        <v>2024</v>
      </c>
      <c r="D148" s="81">
        <v>6</v>
      </c>
      <c r="E148" s="107">
        <v>1</v>
      </c>
      <c r="F148" s="138">
        <v>149</v>
      </c>
      <c r="G148" s="137">
        <f>(983497.42+417416.14)/1000</f>
        <v>1400.91356</v>
      </c>
      <c r="H148" s="139" t="s">
        <v>1460</v>
      </c>
      <c r="I148" s="123" t="s">
        <v>1334</v>
      </c>
      <c r="J148" s="205"/>
      <c r="K148" s="206"/>
      <c r="L148" s="206"/>
      <c r="M148" s="206"/>
    </row>
    <row r="149" spans="1:13" ht="50.25" customHeight="1">
      <c r="A149" s="85"/>
      <c r="B149" s="123" t="s">
        <v>1461</v>
      </c>
      <c r="C149" s="81">
        <v>2024</v>
      </c>
      <c r="D149" s="81">
        <v>6</v>
      </c>
      <c r="E149" s="107">
        <v>1</v>
      </c>
      <c r="F149" s="138">
        <v>150</v>
      </c>
      <c r="G149" s="137">
        <f>(785445.45+187600.24)/1000</f>
        <v>973.04568999999992</v>
      </c>
      <c r="H149" s="139" t="s">
        <v>1462</v>
      </c>
      <c r="I149" s="123" t="s">
        <v>1432</v>
      </c>
      <c r="J149" s="205"/>
      <c r="K149" s="206"/>
      <c r="L149" s="206"/>
      <c r="M149" s="206"/>
    </row>
    <row r="150" spans="1:13" ht="50.25" customHeight="1">
      <c r="A150" s="85"/>
      <c r="B150" s="123" t="s">
        <v>1463</v>
      </c>
      <c r="C150" s="81">
        <v>2024</v>
      </c>
      <c r="D150" s="81">
        <v>6</v>
      </c>
      <c r="E150" s="107">
        <v>1</v>
      </c>
      <c r="F150" s="138">
        <v>150</v>
      </c>
      <c r="G150" s="137">
        <f>(997250.37+417813.18)/1000</f>
        <v>1415.0635500000001</v>
      </c>
      <c r="H150" s="139" t="s">
        <v>1464</v>
      </c>
      <c r="I150" s="123" t="s">
        <v>1336</v>
      </c>
      <c r="J150" s="205"/>
      <c r="K150" s="206"/>
      <c r="L150" s="206"/>
      <c r="M150" s="206"/>
    </row>
    <row r="151" spans="1:13">
      <c r="A151" s="85" t="s">
        <v>162</v>
      </c>
      <c r="B151" s="88" t="s">
        <v>390</v>
      </c>
      <c r="C151" s="85"/>
      <c r="D151" s="81"/>
      <c r="E151" s="134">
        <f>E152</f>
        <v>1</v>
      </c>
      <c r="F151" s="141">
        <f t="shared" ref="F151:G151" si="28">F152</f>
        <v>15</v>
      </c>
      <c r="G151" s="87">
        <f t="shared" si="28"/>
        <v>17697.878720000001</v>
      </c>
      <c r="H151" s="135"/>
      <c r="I151" s="136"/>
    </row>
    <row r="152" spans="1:13" ht="50.25" customHeight="1">
      <c r="A152" s="85"/>
      <c r="B152" s="123" t="s">
        <v>1465</v>
      </c>
      <c r="C152" s="81">
        <v>2024</v>
      </c>
      <c r="D152" s="81">
        <v>6</v>
      </c>
      <c r="E152" s="144">
        <v>1</v>
      </c>
      <c r="F152" s="138">
        <v>15</v>
      </c>
      <c r="G152" s="137">
        <f>(15344859.18+1176509.77*2)/1000</f>
        <v>17697.878720000001</v>
      </c>
      <c r="H152" s="139" t="s">
        <v>1466</v>
      </c>
      <c r="I152" s="123" t="s">
        <v>1436</v>
      </c>
      <c r="J152" s="205"/>
      <c r="K152" s="206"/>
      <c r="L152" s="206"/>
      <c r="M152" s="206"/>
    </row>
    <row r="153" spans="1:13">
      <c r="A153" s="85" t="s">
        <v>1046</v>
      </c>
      <c r="B153" s="88" t="s">
        <v>198</v>
      </c>
      <c r="C153" s="85"/>
      <c r="D153" s="81"/>
      <c r="E153" s="134">
        <f>SUM(E154:E155)</f>
        <v>2</v>
      </c>
      <c r="F153" s="141">
        <f t="shared" ref="F153:G153" si="29">SUM(F154:F155)</f>
        <v>1850</v>
      </c>
      <c r="G153" s="87">
        <f t="shared" si="29"/>
        <v>22762.804800000002</v>
      </c>
      <c r="H153" s="135"/>
      <c r="I153" s="136"/>
    </row>
    <row r="154" spans="1:13" ht="65.25" customHeight="1">
      <c r="A154" s="85"/>
      <c r="B154" s="123" t="s">
        <v>1467</v>
      </c>
      <c r="C154" s="81">
        <v>2024</v>
      </c>
      <c r="D154" s="81">
        <v>10</v>
      </c>
      <c r="E154" s="107">
        <v>1</v>
      </c>
      <c r="F154" s="138">
        <f>1850/2</f>
        <v>925</v>
      </c>
      <c r="G154" s="137">
        <f>(8920328.88+1230536.76*2)/1000</f>
        <v>11381.402400000001</v>
      </c>
      <c r="H154" s="139" t="s">
        <v>1468</v>
      </c>
      <c r="I154" s="123" t="s">
        <v>1469</v>
      </c>
      <c r="J154" s="205"/>
      <c r="K154" s="206"/>
      <c r="L154" s="206"/>
      <c r="M154" s="206"/>
    </row>
    <row r="155" spans="1:13" ht="65.25" customHeight="1">
      <c r="A155" s="85"/>
      <c r="B155" s="123" t="s">
        <v>1470</v>
      </c>
      <c r="C155" s="81">
        <v>2024</v>
      </c>
      <c r="D155" s="81">
        <v>10</v>
      </c>
      <c r="E155" s="107">
        <v>1</v>
      </c>
      <c r="F155" s="138">
        <f>1850/2</f>
        <v>925</v>
      </c>
      <c r="G155" s="137">
        <f>(8920328.88+1230536.76*2)/1000</f>
        <v>11381.402400000001</v>
      </c>
      <c r="H155" s="139" t="s">
        <v>1471</v>
      </c>
      <c r="I155" s="123" t="s">
        <v>1469</v>
      </c>
      <c r="J155" s="205"/>
      <c r="K155" s="206"/>
      <c r="L155" s="206"/>
      <c r="M155" s="206"/>
    </row>
    <row r="156" spans="1:13" ht="31.2">
      <c r="A156" s="81">
        <v>5</v>
      </c>
      <c r="B156" s="88" t="s">
        <v>199</v>
      </c>
      <c r="C156" s="81" t="s">
        <v>34</v>
      </c>
      <c r="D156" s="81" t="s">
        <v>34</v>
      </c>
      <c r="E156" s="107">
        <v>0</v>
      </c>
      <c r="F156" s="138">
        <v>0</v>
      </c>
      <c r="G156" s="89">
        <v>0</v>
      </c>
      <c r="H156" s="139" t="s">
        <v>34</v>
      </c>
      <c r="I156" s="91" t="s">
        <v>34</v>
      </c>
    </row>
    <row r="157" spans="1:13">
      <c r="A157" s="81" t="s">
        <v>78</v>
      </c>
      <c r="B157" s="91" t="s">
        <v>79</v>
      </c>
      <c r="C157" s="81" t="s">
        <v>34</v>
      </c>
      <c r="D157" s="81" t="s">
        <v>34</v>
      </c>
      <c r="E157" s="107" t="s">
        <v>34</v>
      </c>
      <c r="F157" s="138" t="s">
        <v>34</v>
      </c>
      <c r="G157" s="89" t="s">
        <v>34</v>
      </c>
      <c r="H157" s="139" t="s">
        <v>34</v>
      </c>
      <c r="I157" s="91" t="s">
        <v>34</v>
      </c>
    </row>
    <row r="158" spans="1:13" ht="39.75" customHeight="1">
      <c r="A158" s="81" t="s">
        <v>80</v>
      </c>
      <c r="B158" s="91" t="s">
        <v>200</v>
      </c>
      <c r="C158" s="81" t="s">
        <v>34</v>
      </c>
      <c r="D158" s="81" t="s">
        <v>34</v>
      </c>
      <c r="E158" s="107" t="s">
        <v>34</v>
      </c>
      <c r="F158" s="138" t="s">
        <v>34</v>
      </c>
      <c r="G158" s="89" t="s">
        <v>34</v>
      </c>
      <c r="H158" s="139" t="s">
        <v>34</v>
      </c>
      <c r="I158" s="91" t="s">
        <v>34</v>
      </c>
    </row>
    <row r="159" spans="1:13" ht="173.25" customHeight="1">
      <c r="A159" s="81" t="s">
        <v>81</v>
      </c>
      <c r="B159" s="91" t="s">
        <v>201</v>
      </c>
      <c r="C159" s="81"/>
      <c r="D159" s="81"/>
      <c r="E159" s="107"/>
      <c r="F159" s="138"/>
      <c r="G159" s="89"/>
      <c r="H159" s="143"/>
      <c r="I159" s="94"/>
    </row>
    <row r="160" spans="1:13">
      <c r="A160" s="81" t="s">
        <v>72</v>
      </c>
      <c r="B160" s="91" t="s">
        <v>73</v>
      </c>
      <c r="C160" s="81"/>
      <c r="D160" s="81"/>
      <c r="E160" s="107"/>
      <c r="F160" s="138"/>
      <c r="G160" s="89"/>
      <c r="H160" s="143"/>
      <c r="I160" s="94"/>
    </row>
    <row r="161" spans="1:9" ht="46.8">
      <c r="A161" s="85">
        <v>6</v>
      </c>
      <c r="B161" s="88" t="s">
        <v>92</v>
      </c>
      <c r="C161" s="85" t="s">
        <v>34</v>
      </c>
      <c r="D161" s="81" t="s">
        <v>34</v>
      </c>
      <c r="E161" s="134">
        <v>0</v>
      </c>
      <c r="F161" s="141">
        <f>F162</f>
        <v>0</v>
      </c>
      <c r="G161" s="87">
        <f>G162</f>
        <v>0</v>
      </c>
      <c r="H161" s="142" t="s">
        <v>34</v>
      </c>
      <c r="I161" s="88" t="s">
        <v>34</v>
      </c>
    </row>
    <row r="162" spans="1:9" ht="46.8">
      <c r="A162" s="81" t="s">
        <v>82</v>
      </c>
      <c r="B162" s="118" t="s">
        <v>202</v>
      </c>
      <c r="C162" s="81"/>
      <c r="D162" s="81"/>
      <c r="E162" s="107"/>
      <c r="F162" s="138"/>
      <c r="G162" s="89"/>
      <c r="H162" s="140"/>
      <c r="I162" s="118"/>
    </row>
    <row r="163" spans="1:9" ht="140.4">
      <c r="A163" s="81" t="s">
        <v>164</v>
      </c>
      <c r="B163" s="118" t="s">
        <v>165</v>
      </c>
      <c r="C163" s="81"/>
      <c r="D163" s="81"/>
      <c r="E163" s="107"/>
      <c r="F163" s="138"/>
      <c r="G163" s="89"/>
      <c r="H163" s="140"/>
      <c r="I163" s="118"/>
    </row>
    <row r="164" spans="1:9">
      <c r="A164" s="81" t="s">
        <v>72</v>
      </c>
      <c r="B164" s="91" t="s">
        <v>73</v>
      </c>
      <c r="C164" s="81"/>
      <c r="D164" s="81"/>
      <c r="E164" s="107"/>
      <c r="F164" s="138"/>
      <c r="G164" s="89"/>
      <c r="H164" s="140"/>
      <c r="I164" s="118"/>
    </row>
    <row r="165" spans="1:9" ht="34.5" customHeight="1">
      <c r="A165" s="85">
        <v>7</v>
      </c>
      <c r="B165" s="145" t="s">
        <v>93</v>
      </c>
      <c r="C165" s="85"/>
      <c r="D165" s="81"/>
      <c r="E165" s="134">
        <f>E168+E215+E430</f>
        <v>295</v>
      </c>
      <c r="F165" s="134">
        <f t="shared" ref="F165:G165" si="30">F168+F215+F430</f>
        <v>16091.1</v>
      </c>
      <c r="G165" s="134">
        <f t="shared" si="30"/>
        <v>20918.447400000015</v>
      </c>
      <c r="H165" s="142"/>
      <c r="I165" s="88"/>
    </row>
    <row r="166" spans="1:9" ht="46.8">
      <c r="A166" s="81" t="s">
        <v>94</v>
      </c>
      <c r="B166" s="118" t="s">
        <v>95</v>
      </c>
      <c r="C166" s="81"/>
      <c r="D166" s="81"/>
      <c r="E166" s="107"/>
      <c r="F166" s="138"/>
      <c r="G166" s="89"/>
      <c r="H166" s="140"/>
      <c r="I166" s="118"/>
    </row>
    <row r="167" spans="1:9" ht="62.4">
      <c r="A167" s="81" t="s">
        <v>96</v>
      </c>
      <c r="B167" s="91" t="s">
        <v>97</v>
      </c>
      <c r="C167" s="81"/>
      <c r="D167" s="81"/>
      <c r="E167" s="107"/>
      <c r="F167" s="138"/>
      <c r="G167" s="89"/>
      <c r="H167" s="140"/>
      <c r="I167" s="118"/>
    </row>
    <row r="168" spans="1:9">
      <c r="A168" s="119" t="s">
        <v>166</v>
      </c>
      <c r="B168" s="88" t="s">
        <v>167</v>
      </c>
      <c r="C168" s="85"/>
      <c r="D168" s="81"/>
      <c r="E168" s="134">
        <f>SUM(E169:E214)</f>
        <v>46</v>
      </c>
      <c r="F168" s="134">
        <f t="shared" ref="F168:G168" si="31">SUM(F169:F214)</f>
        <v>302.5</v>
      </c>
      <c r="G168" s="134">
        <f t="shared" si="31"/>
        <v>2253.941119999999</v>
      </c>
      <c r="H168" s="146"/>
      <c r="I168" s="147"/>
    </row>
    <row r="169" spans="1:9" ht="46.8">
      <c r="A169" s="119"/>
      <c r="B169" s="91" t="s">
        <v>1472</v>
      </c>
      <c r="C169" s="81">
        <v>2024</v>
      </c>
      <c r="D169" s="81">
        <v>0.23</v>
      </c>
      <c r="E169" s="107">
        <v>1</v>
      </c>
      <c r="F169" s="152">
        <v>5</v>
      </c>
      <c r="G169" s="137">
        <v>36.807410000000004</v>
      </c>
      <c r="H169" s="124" t="s">
        <v>1473</v>
      </c>
      <c r="I169" s="118" t="s">
        <v>1474</v>
      </c>
    </row>
    <row r="170" spans="1:9" ht="46.8">
      <c r="A170" s="119"/>
      <c r="B170" s="91" t="s">
        <v>1475</v>
      </c>
      <c r="C170" s="81">
        <v>2024</v>
      </c>
      <c r="D170" s="81">
        <v>0.23</v>
      </c>
      <c r="E170" s="107">
        <v>1</v>
      </c>
      <c r="F170" s="152">
        <v>7</v>
      </c>
      <c r="G170" s="137">
        <v>51.495400000000004</v>
      </c>
      <c r="H170" s="124" t="s">
        <v>1476</v>
      </c>
      <c r="I170" s="118" t="s">
        <v>1298</v>
      </c>
    </row>
    <row r="171" spans="1:9" ht="46.8">
      <c r="A171" s="119"/>
      <c r="B171" s="91" t="s">
        <v>1477</v>
      </c>
      <c r="C171" s="81">
        <v>2024</v>
      </c>
      <c r="D171" s="81">
        <v>0.23</v>
      </c>
      <c r="E171" s="107">
        <v>1</v>
      </c>
      <c r="F171" s="152">
        <v>7</v>
      </c>
      <c r="G171" s="137">
        <v>51.495400000000004</v>
      </c>
      <c r="H171" s="124" t="s">
        <v>1478</v>
      </c>
      <c r="I171" s="118" t="s">
        <v>1298</v>
      </c>
    </row>
    <row r="172" spans="1:9" ht="62.4">
      <c r="A172" s="119"/>
      <c r="B172" s="91" t="s">
        <v>1479</v>
      </c>
      <c r="C172" s="81">
        <v>2024</v>
      </c>
      <c r="D172" s="81">
        <v>0.23</v>
      </c>
      <c r="E172" s="107">
        <v>1</v>
      </c>
      <c r="F172" s="152">
        <v>15</v>
      </c>
      <c r="G172" s="137">
        <v>75.02655</v>
      </c>
      <c r="H172" s="124" t="s">
        <v>1480</v>
      </c>
      <c r="I172" s="118" t="s">
        <v>1298</v>
      </c>
    </row>
    <row r="173" spans="1:9" ht="62.4">
      <c r="A173" s="119"/>
      <c r="B173" s="91" t="s">
        <v>1481</v>
      </c>
      <c r="C173" s="81">
        <v>2024</v>
      </c>
      <c r="D173" s="81">
        <v>0.23</v>
      </c>
      <c r="E173" s="107">
        <v>1</v>
      </c>
      <c r="F173" s="152">
        <v>5</v>
      </c>
      <c r="G173" s="137">
        <v>51.493679999999998</v>
      </c>
      <c r="H173" s="124" t="s">
        <v>1482</v>
      </c>
      <c r="I173" s="118" t="s">
        <v>1298</v>
      </c>
    </row>
    <row r="174" spans="1:9" ht="62.4">
      <c r="A174" s="119"/>
      <c r="B174" s="91" t="s">
        <v>1483</v>
      </c>
      <c r="C174" s="81">
        <v>2024</v>
      </c>
      <c r="D174" s="81">
        <v>0.23</v>
      </c>
      <c r="E174" s="107">
        <v>1</v>
      </c>
      <c r="F174" s="152">
        <v>6</v>
      </c>
      <c r="G174" s="137">
        <v>47.23659</v>
      </c>
      <c r="H174" s="124" t="s">
        <v>1484</v>
      </c>
      <c r="I174" s="118" t="s">
        <v>1346</v>
      </c>
    </row>
    <row r="175" spans="1:9" ht="62.4">
      <c r="A175" s="119"/>
      <c r="B175" s="91" t="s">
        <v>1485</v>
      </c>
      <c r="C175" s="81">
        <v>2024</v>
      </c>
      <c r="D175" s="81">
        <v>0.23</v>
      </c>
      <c r="E175" s="107">
        <v>1</v>
      </c>
      <c r="F175" s="152">
        <v>7</v>
      </c>
      <c r="G175" s="137">
        <v>49.021059999999999</v>
      </c>
      <c r="H175" s="124" t="s">
        <v>1486</v>
      </c>
      <c r="I175" s="118" t="s">
        <v>1487</v>
      </c>
    </row>
    <row r="176" spans="1:9" ht="46.8">
      <c r="A176" s="119"/>
      <c r="B176" s="91" t="s">
        <v>1488</v>
      </c>
      <c r="C176" s="81">
        <v>2024</v>
      </c>
      <c r="D176" s="81">
        <v>0.23</v>
      </c>
      <c r="E176" s="107">
        <v>1</v>
      </c>
      <c r="F176" s="152">
        <v>5</v>
      </c>
      <c r="G176" s="137">
        <v>49.960250000000002</v>
      </c>
      <c r="H176" s="124" t="s">
        <v>1489</v>
      </c>
      <c r="I176" s="118" t="s">
        <v>1490</v>
      </c>
    </row>
    <row r="177" spans="1:9" ht="62.4">
      <c r="A177" s="119"/>
      <c r="B177" s="91" t="s">
        <v>1491</v>
      </c>
      <c r="C177" s="81">
        <v>2024</v>
      </c>
      <c r="D177" s="81">
        <v>0.23</v>
      </c>
      <c r="E177" s="107">
        <v>1</v>
      </c>
      <c r="F177" s="152">
        <v>5</v>
      </c>
      <c r="G177" s="137">
        <v>49.68244</v>
      </c>
      <c r="H177" s="124" t="s">
        <v>1492</v>
      </c>
      <c r="I177" s="118" t="s">
        <v>1487</v>
      </c>
    </row>
    <row r="178" spans="1:9" ht="62.4">
      <c r="A178" s="119"/>
      <c r="B178" s="91" t="s">
        <v>1493</v>
      </c>
      <c r="C178" s="81">
        <v>2024</v>
      </c>
      <c r="D178" s="81">
        <v>0.23</v>
      </c>
      <c r="E178" s="107">
        <v>1</v>
      </c>
      <c r="F178" s="152">
        <v>4</v>
      </c>
      <c r="G178" s="137">
        <v>49.864519999999999</v>
      </c>
      <c r="H178" s="124" t="s">
        <v>1494</v>
      </c>
      <c r="I178" s="118" t="s">
        <v>1487</v>
      </c>
    </row>
    <row r="179" spans="1:9" ht="62.4">
      <c r="A179" s="119"/>
      <c r="B179" s="91" t="s">
        <v>1495</v>
      </c>
      <c r="C179" s="81">
        <v>2024</v>
      </c>
      <c r="D179" s="81">
        <v>0.23</v>
      </c>
      <c r="E179" s="107">
        <v>1</v>
      </c>
      <c r="F179" s="152">
        <v>5</v>
      </c>
      <c r="G179" s="137">
        <v>50.563000000000002</v>
      </c>
      <c r="H179" s="124" t="s">
        <v>1496</v>
      </c>
      <c r="I179" s="118" t="s">
        <v>1490</v>
      </c>
    </row>
    <row r="180" spans="1:9" ht="46.8">
      <c r="A180" s="119"/>
      <c r="B180" s="91" t="s">
        <v>1497</v>
      </c>
      <c r="C180" s="81">
        <v>2024</v>
      </c>
      <c r="D180" s="81">
        <v>0.23</v>
      </c>
      <c r="E180" s="107">
        <v>1</v>
      </c>
      <c r="F180" s="152">
        <v>6</v>
      </c>
      <c r="G180" s="137">
        <v>29.672330000000002</v>
      </c>
      <c r="H180" s="124" t="s">
        <v>1498</v>
      </c>
      <c r="I180" s="118" t="s">
        <v>1499</v>
      </c>
    </row>
    <row r="181" spans="1:9" ht="46.8">
      <c r="A181" s="119"/>
      <c r="B181" s="91" t="s">
        <v>1500</v>
      </c>
      <c r="C181" s="81">
        <v>2024</v>
      </c>
      <c r="D181" s="81">
        <v>0.23</v>
      </c>
      <c r="E181" s="107">
        <v>1</v>
      </c>
      <c r="F181" s="152">
        <v>5</v>
      </c>
      <c r="G181" s="137">
        <v>29.672330000000002</v>
      </c>
      <c r="H181" s="124" t="s">
        <v>1501</v>
      </c>
      <c r="I181" s="118" t="s">
        <v>1499</v>
      </c>
    </row>
    <row r="182" spans="1:9" ht="46.8">
      <c r="A182" s="119"/>
      <c r="B182" s="91" t="s">
        <v>1502</v>
      </c>
      <c r="C182" s="81">
        <v>2024</v>
      </c>
      <c r="D182" s="81">
        <v>0.23</v>
      </c>
      <c r="E182" s="107">
        <v>1</v>
      </c>
      <c r="F182" s="152">
        <v>7</v>
      </c>
      <c r="G182" s="137">
        <v>29.672330000000002</v>
      </c>
      <c r="H182" s="124" t="s">
        <v>1503</v>
      </c>
      <c r="I182" s="118" t="s">
        <v>1499</v>
      </c>
    </row>
    <row r="183" spans="1:9" ht="46.8">
      <c r="A183" s="119"/>
      <c r="B183" s="91" t="s">
        <v>1504</v>
      </c>
      <c r="C183" s="81">
        <v>2024</v>
      </c>
      <c r="D183" s="81">
        <v>0.23</v>
      </c>
      <c r="E183" s="107">
        <v>1</v>
      </c>
      <c r="F183" s="152">
        <v>15</v>
      </c>
      <c r="G183" s="137">
        <v>29.672330000000002</v>
      </c>
      <c r="H183" s="124" t="s">
        <v>1505</v>
      </c>
      <c r="I183" s="118" t="s">
        <v>1499</v>
      </c>
    </row>
    <row r="184" spans="1:9" ht="46.8">
      <c r="A184" s="119"/>
      <c r="B184" s="91" t="s">
        <v>1506</v>
      </c>
      <c r="C184" s="81">
        <v>2024</v>
      </c>
      <c r="D184" s="81">
        <v>0.23</v>
      </c>
      <c r="E184" s="107">
        <v>1</v>
      </c>
      <c r="F184" s="152">
        <v>5</v>
      </c>
      <c r="G184" s="137">
        <v>29.672330000000002</v>
      </c>
      <c r="H184" s="124" t="s">
        <v>1507</v>
      </c>
      <c r="I184" s="118" t="s">
        <v>1499</v>
      </c>
    </row>
    <row r="185" spans="1:9" ht="46.8">
      <c r="A185" s="119"/>
      <c r="B185" s="91" t="s">
        <v>1508</v>
      </c>
      <c r="C185" s="81">
        <v>2024</v>
      </c>
      <c r="D185" s="81">
        <v>0.23</v>
      </c>
      <c r="E185" s="107">
        <v>1</v>
      </c>
      <c r="F185" s="152">
        <v>5</v>
      </c>
      <c r="G185" s="137">
        <v>47.696379999999998</v>
      </c>
      <c r="H185" s="124" t="s">
        <v>1509</v>
      </c>
      <c r="I185" s="118" t="s">
        <v>1490</v>
      </c>
    </row>
    <row r="186" spans="1:9" ht="46.8">
      <c r="A186" s="119"/>
      <c r="B186" s="91" t="s">
        <v>1510</v>
      </c>
      <c r="C186" s="81">
        <v>2024</v>
      </c>
      <c r="D186" s="81">
        <v>0.23</v>
      </c>
      <c r="E186" s="107">
        <v>1</v>
      </c>
      <c r="F186" s="152">
        <v>7</v>
      </c>
      <c r="G186" s="137">
        <v>48.02017</v>
      </c>
      <c r="H186" s="124" t="s">
        <v>1511</v>
      </c>
      <c r="I186" s="118" t="s">
        <v>1309</v>
      </c>
    </row>
    <row r="187" spans="1:9" ht="62.4">
      <c r="A187" s="119"/>
      <c r="B187" s="91" t="s">
        <v>1512</v>
      </c>
      <c r="C187" s="81">
        <v>2024</v>
      </c>
      <c r="D187" s="81">
        <v>0.23</v>
      </c>
      <c r="E187" s="107">
        <v>1</v>
      </c>
      <c r="F187" s="152">
        <v>3</v>
      </c>
      <c r="G187" s="137">
        <v>49.986809999999998</v>
      </c>
      <c r="H187" s="124" t="s">
        <v>1513</v>
      </c>
      <c r="I187" s="118" t="s">
        <v>1487</v>
      </c>
    </row>
    <row r="188" spans="1:9" ht="46.8">
      <c r="A188" s="119"/>
      <c r="B188" s="91" t="s">
        <v>1514</v>
      </c>
      <c r="C188" s="81">
        <v>2024</v>
      </c>
      <c r="D188" s="81">
        <v>0.23</v>
      </c>
      <c r="E188" s="107">
        <v>1</v>
      </c>
      <c r="F188" s="152">
        <v>3</v>
      </c>
      <c r="G188" s="137">
        <v>50.503089999999993</v>
      </c>
      <c r="H188" s="124" t="s">
        <v>1515</v>
      </c>
      <c r="I188" s="118" t="s">
        <v>1490</v>
      </c>
    </row>
    <row r="189" spans="1:9" ht="62.4">
      <c r="A189" s="119"/>
      <c r="B189" s="91" t="s">
        <v>1516</v>
      </c>
      <c r="C189" s="81">
        <v>2024</v>
      </c>
      <c r="D189" s="81">
        <v>0.23</v>
      </c>
      <c r="E189" s="107">
        <v>1</v>
      </c>
      <c r="F189" s="152">
        <v>3</v>
      </c>
      <c r="G189" s="137">
        <v>50.503089999999993</v>
      </c>
      <c r="H189" s="124" t="s">
        <v>1517</v>
      </c>
      <c r="I189" s="118" t="s">
        <v>1490</v>
      </c>
    </row>
    <row r="190" spans="1:9" ht="46.8">
      <c r="A190" s="119"/>
      <c r="B190" s="91" t="s">
        <v>1518</v>
      </c>
      <c r="C190" s="81">
        <v>2024</v>
      </c>
      <c r="D190" s="81">
        <v>0.23</v>
      </c>
      <c r="E190" s="107">
        <v>1</v>
      </c>
      <c r="F190" s="152">
        <v>5</v>
      </c>
      <c r="G190" s="137">
        <v>54.647629999999999</v>
      </c>
      <c r="H190" s="124" t="s">
        <v>1519</v>
      </c>
      <c r="I190" s="118" t="s">
        <v>1520</v>
      </c>
    </row>
    <row r="191" spans="1:9" ht="62.4">
      <c r="A191" s="119"/>
      <c r="B191" s="91" t="s">
        <v>1521</v>
      </c>
      <c r="C191" s="81">
        <v>2024</v>
      </c>
      <c r="D191" s="81">
        <v>0.23</v>
      </c>
      <c r="E191" s="107">
        <v>1</v>
      </c>
      <c r="F191" s="152">
        <v>5</v>
      </c>
      <c r="G191" s="137">
        <v>39.42633</v>
      </c>
      <c r="H191" s="124" t="s">
        <v>1522</v>
      </c>
      <c r="I191" s="118" t="s">
        <v>1523</v>
      </c>
    </row>
    <row r="192" spans="1:9" ht="62.4">
      <c r="A192" s="119"/>
      <c r="B192" s="91" t="s">
        <v>1524</v>
      </c>
      <c r="C192" s="81">
        <v>2024</v>
      </c>
      <c r="D192" s="81">
        <v>0.23</v>
      </c>
      <c r="E192" s="107">
        <v>1</v>
      </c>
      <c r="F192" s="152">
        <v>5</v>
      </c>
      <c r="G192" s="137">
        <v>41.107559999999999</v>
      </c>
      <c r="H192" s="124" t="s">
        <v>1525</v>
      </c>
      <c r="I192" s="118" t="s">
        <v>1411</v>
      </c>
    </row>
    <row r="193" spans="1:9" ht="46.8">
      <c r="A193" s="119"/>
      <c r="B193" s="91" t="s">
        <v>1526</v>
      </c>
      <c r="C193" s="81">
        <v>2024</v>
      </c>
      <c r="D193" s="81">
        <v>0.23</v>
      </c>
      <c r="E193" s="107">
        <v>1</v>
      </c>
      <c r="F193" s="152">
        <v>5</v>
      </c>
      <c r="G193" s="137">
        <v>41.107559999999999</v>
      </c>
      <c r="H193" s="124" t="s">
        <v>1527</v>
      </c>
      <c r="I193" s="118" t="s">
        <v>1411</v>
      </c>
    </row>
    <row r="194" spans="1:9" ht="62.4">
      <c r="A194" s="119"/>
      <c r="B194" s="91" t="s">
        <v>1528</v>
      </c>
      <c r="C194" s="81">
        <v>2024</v>
      </c>
      <c r="D194" s="81">
        <v>0.23</v>
      </c>
      <c r="E194" s="107">
        <v>1</v>
      </c>
      <c r="F194" s="152">
        <v>5</v>
      </c>
      <c r="G194" s="137">
        <v>41.107559999999999</v>
      </c>
      <c r="H194" s="124" t="s">
        <v>1529</v>
      </c>
      <c r="I194" s="118" t="s">
        <v>1411</v>
      </c>
    </row>
    <row r="195" spans="1:9" ht="62.4">
      <c r="A195" s="119"/>
      <c r="B195" s="91" t="s">
        <v>1530</v>
      </c>
      <c r="C195" s="81">
        <v>2024</v>
      </c>
      <c r="D195" s="81">
        <v>0.23</v>
      </c>
      <c r="E195" s="107">
        <v>1</v>
      </c>
      <c r="F195" s="152">
        <v>6</v>
      </c>
      <c r="G195" s="137">
        <v>48.612360000000002</v>
      </c>
      <c r="H195" s="124" t="s">
        <v>1531</v>
      </c>
      <c r="I195" s="118" t="s">
        <v>1318</v>
      </c>
    </row>
    <row r="196" spans="1:9" ht="62.4">
      <c r="A196" s="119"/>
      <c r="B196" s="91" t="s">
        <v>1532</v>
      </c>
      <c r="C196" s="81">
        <v>2024</v>
      </c>
      <c r="D196" s="81">
        <v>0.23</v>
      </c>
      <c r="E196" s="107">
        <v>1</v>
      </c>
      <c r="F196" s="152">
        <v>6</v>
      </c>
      <c r="G196" s="137">
        <v>48.612360000000002</v>
      </c>
      <c r="H196" s="124" t="s">
        <v>1533</v>
      </c>
      <c r="I196" s="118" t="s">
        <v>1318</v>
      </c>
    </row>
    <row r="197" spans="1:9" ht="62.4">
      <c r="A197" s="119"/>
      <c r="B197" s="91" t="s">
        <v>1534</v>
      </c>
      <c r="C197" s="81">
        <v>2024</v>
      </c>
      <c r="D197" s="81">
        <v>0.23</v>
      </c>
      <c r="E197" s="107">
        <v>1</v>
      </c>
      <c r="F197" s="152">
        <v>6</v>
      </c>
      <c r="G197" s="137">
        <v>48.612360000000002</v>
      </c>
      <c r="H197" s="124" t="s">
        <v>1535</v>
      </c>
      <c r="I197" s="118" t="s">
        <v>1318</v>
      </c>
    </row>
    <row r="198" spans="1:9" ht="46.8">
      <c r="A198" s="119"/>
      <c r="B198" s="91" t="s">
        <v>1536</v>
      </c>
      <c r="C198" s="81">
        <v>2024</v>
      </c>
      <c r="D198" s="81">
        <v>0.23</v>
      </c>
      <c r="E198" s="107">
        <v>1</v>
      </c>
      <c r="F198" s="152">
        <v>7</v>
      </c>
      <c r="G198" s="137">
        <v>56.741059999999997</v>
      </c>
      <c r="H198" s="124" t="s">
        <v>1537</v>
      </c>
      <c r="I198" s="118" t="s">
        <v>1538</v>
      </c>
    </row>
    <row r="199" spans="1:9" ht="62.4">
      <c r="A199" s="119"/>
      <c r="B199" s="91" t="s">
        <v>1539</v>
      </c>
      <c r="C199" s="81">
        <v>2024</v>
      </c>
      <c r="D199" s="81">
        <v>0.23</v>
      </c>
      <c r="E199" s="107">
        <v>1</v>
      </c>
      <c r="F199" s="152">
        <v>7</v>
      </c>
      <c r="G199" s="137">
        <v>54.02543</v>
      </c>
      <c r="H199" s="124" t="s">
        <v>1540</v>
      </c>
      <c r="I199" s="118" t="s">
        <v>1541</v>
      </c>
    </row>
    <row r="200" spans="1:9" ht="62.25" customHeight="1">
      <c r="A200" s="119"/>
      <c r="B200" s="148" t="s">
        <v>1542</v>
      </c>
      <c r="C200" s="81">
        <v>2024</v>
      </c>
      <c r="D200" s="81">
        <v>0.23</v>
      </c>
      <c r="E200" s="107">
        <v>1</v>
      </c>
      <c r="F200" s="152">
        <v>7</v>
      </c>
      <c r="G200" s="137">
        <v>57.59628</v>
      </c>
      <c r="H200" s="124" t="s">
        <v>1543</v>
      </c>
      <c r="I200" s="123" t="s">
        <v>1327</v>
      </c>
    </row>
    <row r="201" spans="1:9" ht="62.25" customHeight="1">
      <c r="A201" s="119"/>
      <c r="B201" s="148" t="s">
        <v>1544</v>
      </c>
      <c r="C201" s="81">
        <v>2024</v>
      </c>
      <c r="D201" s="81">
        <v>0.23</v>
      </c>
      <c r="E201" s="107">
        <v>1</v>
      </c>
      <c r="F201" s="152">
        <v>15</v>
      </c>
      <c r="G201" s="137">
        <v>57.59628</v>
      </c>
      <c r="H201" s="124" t="s">
        <v>1545</v>
      </c>
      <c r="I201" s="123" t="s">
        <v>1327</v>
      </c>
    </row>
    <row r="202" spans="1:9" ht="62.25" customHeight="1">
      <c r="A202" s="119"/>
      <c r="B202" s="148" t="s">
        <v>1546</v>
      </c>
      <c r="C202" s="81">
        <v>2024</v>
      </c>
      <c r="D202" s="81">
        <v>0.23</v>
      </c>
      <c r="E202" s="107">
        <v>1</v>
      </c>
      <c r="F202" s="152">
        <v>5</v>
      </c>
      <c r="G202" s="137">
        <v>57.59628</v>
      </c>
      <c r="H202" s="124" t="s">
        <v>1547</v>
      </c>
      <c r="I202" s="123" t="s">
        <v>1327</v>
      </c>
    </row>
    <row r="203" spans="1:9" ht="62.25" customHeight="1">
      <c r="A203" s="119"/>
      <c r="B203" s="148" t="s">
        <v>1548</v>
      </c>
      <c r="C203" s="81">
        <v>2024</v>
      </c>
      <c r="D203" s="81">
        <v>0.23</v>
      </c>
      <c r="E203" s="107">
        <v>1</v>
      </c>
      <c r="F203" s="152">
        <v>5</v>
      </c>
      <c r="G203" s="137">
        <v>57.59628</v>
      </c>
      <c r="H203" s="124" t="s">
        <v>1549</v>
      </c>
      <c r="I203" s="123" t="s">
        <v>1327</v>
      </c>
    </row>
    <row r="204" spans="1:9" ht="62.25" customHeight="1">
      <c r="A204" s="119"/>
      <c r="B204" s="148" t="s">
        <v>1550</v>
      </c>
      <c r="C204" s="81">
        <v>2024</v>
      </c>
      <c r="D204" s="81">
        <v>0.23</v>
      </c>
      <c r="E204" s="107">
        <v>1</v>
      </c>
      <c r="F204" s="152">
        <v>5</v>
      </c>
      <c r="G204" s="137">
        <v>57.59628</v>
      </c>
      <c r="H204" s="124" t="s">
        <v>1551</v>
      </c>
      <c r="I204" s="123" t="s">
        <v>1327</v>
      </c>
    </row>
    <row r="205" spans="1:9" ht="62.25" customHeight="1">
      <c r="A205" s="119"/>
      <c r="B205" s="148" t="s">
        <v>1552</v>
      </c>
      <c r="C205" s="81">
        <v>2024</v>
      </c>
      <c r="D205" s="81">
        <v>0.23</v>
      </c>
      <c r="E205" s="107">
        <v>1</v>
      </c>
      <c r="F205" s="152">
        <v>5.5</v>
      </c>
      <c r="G205" s="137">
        <v>57.59628</v>
      </c>
      <c r="H205" s="124" t="s">
        <v>1553</v>
      </c>
      <c r="I205" s="123" t="s">
        <v>1327</v>
      </c>
    </row>
    <row r="206" spans="1:9" ht="74.25" customHeight="1">
      <c r="A206" s="119"/>
      <c r="B206" s="148" t="s">
        <v>1554</v>
      </c>
      <c r="C206" s="81">
        <v>2024</v>
      </c>
      <c r="D206" s="81">
        <v>0.23</v>
      </c>
      <c r="E206" s="107">
        <v>1</v>
      </c>
      <c r="F206" s="152">
        <v>15</v>
      </c>
      <c r="G206" s="137">
        <v>57.59628</v>
      </c>
      <c r="H206" s="124" t="s">
        <v>1555</v>
      </c>
      <c r="I206" s="123" t="s">
        <v>1327</v>
      </c>
    </row>
    <row r="207" spans="1:9" ht="49.5" customHeight="1">
      <c r="A207" s="119"/>
      <c r="B207" s="148" t="s">
        <v>1556</v>
      </c>
      <c r="C207" s="81">
        <v>2024</v>
      </c>
      <c r="D207" s="81">
        <v>0.23</v>
      </c>
      <c r="E207" s="107">
        <v>1</v>
      </c>
      <c r="F207" s="152">
        <v>5</v>
      </c>
      <c r="G207" s="137">
        <v>57.59628</v>
      </c>
      <c r="H207" s="124" t="s">
        <v>1557</v>
      </c>
      <c r="I207" s="123" t="s">
        <v>1327</v>
      </c>
    </row>
    <row r="208" spans="1:9" ht="49.5" customHeight="1">
      <c r="A208" s="119"/>
      <c r="B208" s="148" t="s">
        <v>1558</v>
      </c>
      <c r="C208" s="81">
        <v>2024</v>
      </c>
      <c r="D208" s="81">
        <v>0.23</v>
      </c>
      <c r="E208" s="107">
        <v>1</v>
      </c>
      <c r="F208" s="152">
        <v>5</v>
      </c>
      <c r="G208" s="137">
        <v>57.59628</v>
      </c>
      <c r="H208" s="124" t="s">
        <v>1559</v>
      </c>
      <c r="I208" s="123" t="s">
        <v>1327</v>
      </c>
    </row>
    <row r="209" spans="1:9" ht="69" customHeight="1">
      <c r="A209" s="81"/>
      <c r="B209" s="148" t="s">
        <v>1560</v>
      </c>
      <c r="C209" s="81">
        <v>2024</v>
      </c>
      <c r="D209" s="81">
        <v>0.23</v>
      </c>
      <c r="E209" s="107">
        <v>1</v>
      </c>
      <c r="F209" s="152">
        <v>15</v>
      </c>
      <c r="G209" s="137">
        <v>57.59628</v>
      </c>
      <c r="H209" s="124" t="s">
        <v>1561</v>
      </c>
      <c r="I209" s="123" t="s">
        <v>1327</v>
      </c>
    </row>
    <row r="210" spans="1:9" ht="69" customHeight="1">
      <c r="A210" s="81"/>
      <c r="B210" s="148" t="s">
        <v>1562</v>
      </c>
      <c r="C210" s="81">
        <v>2024</v>
      </c>
      <c r="D210" s="81">
        <v>0.23</v>
      </c>
      <c r="E210" s="107">
        <v>1</v>
      </c>
      <c r="F210" s="152">
        <v>5</v>
      </c>
      <c r="G210" s="137">
        <v>68.981679999999997</v>
      </c>
      <c r="H210" s="124" t="s">
        <v>1563</v>
      </c>
      <c r="I210" s="123" t="s">
        <v>1330</v>
      </c>
    </row>
    <row r="211" spans="1:9" ht="51" customHeight="1">
      <c r="A211" s="81"/>
      <c r="B211" s="148" t="s">
        <v>1564</v>
      </c>
      <c r="C211" s="81">
        <v>2024</v>
      </c>
      <c r="D211" s="81">
        <v>0.23</v>
      </c>
      <c r="E211" s="107">
        <v>1</v>
      </c>
      <c r="F211" s="152">
        <v>7</v>
      </c>
      <c r="G211" s="137">
        <v>55.145940000000003</v>
      </c>
      <c r="H211" s="124" t="s">
        <v>1565</v>
      </c>
      <c r="I211" s="123" t="s">
        <v>1399</v>
      </c>
    </row>
    <row r="212" spans="1:9" ht="51" customHeight="1">
      <c r="A212" s="81"/>
      <c r="B212" s="148" t="s">
        <v>1566</v>
      </c>
      <c r="C212" s="81">
        <v>2024</v>
      </c>
      <c r="D212" s="81">
        <v>0.23</v>
      </c>
      <c r="E212" s="107">
        <v>1</v>
      </c>
      <c r="F212" s="152">
        <v>7</v>
      </c>
      <c r="G212" s="137">
        <v>40.710999999999999</v>
      </c>
      <c r="H212" s="124" t="s">
        <v>1567</v>
      </c>
      <c r="I212" s="123" t="s">
        <v>1351</v>
      </c>
    </row>
    <row r="213" spans="1:9" ht="51" customHeight="1">
      <c r="A213" s="81"/>
      <c r="B213" s="104" t="s">
        <v>1568</v>
      </c>
      <c r="C213" s="81">
        <v>2024</v>
      </c>
      <c r="D213" s="81">
        <v>0.23</v>
      </c>
      <c r="E213" s="107">
        <v>1</v>
      </c>
      <c r="F213" s="152">
        <v>7</v>
      </c>
      <c r="G213" s="137">
        <v>40.710999999999999</v>
      </c>
      <c r="H213" s="124" t="s">
        <v>1569</v>
      </c>
      <c r="I213" s="104" t="s">
        <v>1351</v>
      </c>
    </row>
    <row r="214" spans="1:9" ht="69" customHeight="1">
      <c r="A214" s="81"/>
      <c r="B214" s="104" t="s">
        <v>1570</v>
      </c>
      <c r="C214" s="81">
        <v>2024</v>
      </c>
      <c r="D214" s="81">
        <v>0.23</v>
      </c>
      <c r="E214" s="107">
        <v>1</v>
      </c>
      <c r="F214" s="152">
        <v>7</v>
      </c>
      <c r="G214" s="137">
        <v>40.710999999999999</v>
      </c>
      <c r="H214" s="124" t="s">
        <v>1571</v>
      </c>
      <c r="I214" s="104" t="s">
        <v>1351</v>
      </c>
    </row>
    <row r="215" spans="1:9">
      <c r="A215" s="119" t="s">
        <v>168</v>
      </c>
      <c r="B215" s="88" t="s">
        <v>1086</v>
      </c>
      <c r="C215" s="81">
        <v>2024</v>
      </c>
      <c r="D215" s="81"/>
      <c r="E215" s="134">
        <f>SUM(E216:E429)</f>
        <v>214</v>
      </c>
      <c r="F215" s="134">
        <f t="shared" ref="F215:G215" si="32">SUM(F216:F429)</f>
        <v>3370</v>
      </c>
      <c r="G215" s="134">
        <f t="shared" si="32"/>
        <v>15591.045110000015</v>
      </c>
      <c r="H215" s="146"/>
      <c r="I215" s="147"/>
    </row>
    <row r="216" spans="1:9" ht="68.25" customHeight="1">
      <c r="A216" s="119"/>
      <c r="B216" s="123" t="s">
        <v>1572</v>
      </c>
      <c r="C216" s="81">
        <v>2024</v>
      </c>
      <c r="D216" s="81">
        <v>0.4</v>
      </c>
      <c r="E216" s="107">
        <v>1</v>
      </c>
      <c r="F216" s="138">
        <v>15</v>
      </c>
      <c r="G216" s="137">
        <v>136.45070000000001</v>
      </c>
      <c r="H216" s="139" t="s">
        <v>1573</v>
      </c>
      <c r="I216" s="123" t="s">
        <v>1574</v>
      </c>
    </row>
    <row r="217" spans="1:9" ht="52.5" customHeight="1">
      <c r="A217" s="119"/>
      <c r="B217" s="123" t="s">
        <v>1575</v>
      </c>
      <c r="C217" s="81">
        <v>2024</v>
      </c>
      <c r="D217" s="81">
        <v>0.4</v>
      </c>
      <c r="E217" s="107">
        <v>1</v>
      </c>
      <c r="F217" s="138">
        <v>50</v>
      </c>
      <c r="G217" s="137">
        <v>81.707689999999999</v>
      </c>
      <c r="H217" s="139" t="s">
        <v>1576</v>
      </c>
      <c r="I217" s="123" t="s">
        <v>1577</v>
      </c>
    </row>
    <row r="218" spans="1:9" ht="52.5" customHeight="1">
      <c r="A218" s="119"/>
      <c r="B218" s="123" t="s">
        <v>1578</v>
      </c>
      <c r="C218" s="81">
        <v>2024</v>
      </c>
      <c r="D218" s="81">
        <v>0.4</v>
      </c>
      <c r="E218" s="107">
        <v>1</v>
      </c>
      <c r="F218" s="138">
        <v>15</v>
      </c>
      <c r="G218" s="137">
        <v>74.537949999999995</v>
      </c>
      <c r="H218" s="139" t="s">
        <v>1579</v>
      </c>
      <c r="I218" s="123" t="s">
        <v>1580</v>
      </c>
    </row>
    <row r="219" spans="1:9" ht="52.5" customHeight="1">
      <c r="A219" s="119"/>
      <c r="B219" s="123" t="s">
        <v>1581</v>
      </c>
      <c r="C219" s="81">
        <v>2024</v>
      </c>
      <c r="D219" s="81">
        <v>0.4</v>
      </c>
      <c r="E219" s="107">
        <v>1</v>
      </c>
      <c r="F219" s="138">
        <v>15</v>
      </c>
      <c r="G219" s="137">
        <v>83.285029999999992</v>
      </c>
      <c r="H219" s="139" t="s">
        <v>1582</v>
      </c>
      <c r="I219" s="123" t="s">
        <v>1336</v>
      </c>
    </row>
    <row r="220" spans="1:9" ht="52.5" customHeight="1">
      <c r="A220" s="119"/>
      <c r="B220" s="123" t="s">
        <v>1583</v>
      </c>
      <c r="C220" s="81">
        <v>2024</v>
      </c>
      <c r="D220" s="81">
        <v>0.4</v>
      </c>
      <c r="E220" s="107">
        <v>1</v>
      </c>
      <c r="F220" s="138">
        <v>15</v>
      </c>
      <c r="G220" s="137">
        <v>70.779229999999998</v>
      </c>
      <c r="H220" s="139" t="s">
        <v>1584</v>
      </c>
      <c r="I220" s="123" t="s">
        <v>1487</v>
      </c>
    </row>
    <row r="221" spans="1:9" ht="52.5" customHeight="1">
      <c r="A221" s="119"/>
      <c r="B221" s="123" t="s">
        <v>1585</v>
      </c>
      <c r="C221" s="81">
        <v>2024</v>
      </c>
      <c r="D221" s="81">
        <v>0.4</v>
      </c>
      <c r="E221" s="107">
        <v>1</v>
      </c>
      <c r="F221" s="138">
        <v>15</v>
      </c>
      <c r="G221" s="137">
        <v>70.779229999999998</v>
      </c>
      <c r="H221" s="139" t="s">
        <v>1586</v>
      </c>
      <c r="I221" s="123" t="s">
        <v>1487</v>
      </c>
    </row>
    <row r="222" spans="1:9" ht="52.5" customHeight="1">
      <c r="A222" s="119"/>
      <c r="B222" s="123" t="s">
        <v>1587</v>
      </c>
      <c r="C222" s="81">
        <v>2024</v>
      </c>
      <c r="D222" s="81">
        <v>0.4</v>
      </c>
      <c r="E222" s="107">
        <v>1</v>
      </c>
      <c r="F222" s="138">
        <v>15</v>
      </c>
      <c r="G222" s="137">
        <v>70.547839999999994</v>
      </c>
      <c r="H222" s="139" t="s">
        <v>1588</v>
      </c>
      <c r="I222" s="123" t="s">
        <v>1405</v>
      </c>
    </row>
    <row r="223" spans="1:9" ht="65.25" customHeight="1">
      <c r="A223" s="119"/>
      <c r="B223" s="123" t="s">
        <v>1589</v>
      </c>
      <c r="C223" s="81">
        <v>2024</v>
      </c>
      <c r="D223" s="81">
        <v>0.4</v>
      </c>
      <c r="E223" s="107">
        <v>1</v>
      </c>
      <c r="F223" s="138">
        <v>15</v>
      </c>
      <c r="G223" s="137">
        <v>75.539839999999998</v>
      </c>
      <c r="H223" s="139" t="s">
        <v>1590</v>
      </c>
      <c r="I223" s="123" t="s">
        <v>1474</v>
      </c>
    </row>
    <row r="224" spans="1:9" ht="65.25" customHeight="1">
      <c r="A224" s="119"/>
      <c r="B224" s="123" t="s">
        <v>1591</v>
      </c>
      <c r="C224" s="81">
        <v>2024</v>
      </c>
      <c r="D224" s="81">
        <v>0.4</v>
      </c>
      <c r="E224" s="107">
        <v>1</v>
      </c>
      <c r="F224" s="138">
        <v>15</v>
      </c>
      <c r="G224" s="137">
        <v>69.381550000000004</v>
      </c>
      <c r="H224" s="139" t="s">
        <v>1592</v>
      </c>
      <c r="I224" s="123" t="s">
        <v>1593</v>
      </c>
    </row>
    <row r="225" spans="1:9" ht="49.5" customHeight="1">
      <c r="A225" s="119"/>
      <c r="B225" s="123" t="s">
        <v>1594</v>
      </c>
      <c r="C225" s="81">
        <v>2024</v>
      </c>
      <c r="D225" s="81">
        <v>0.4</v>
      </c>
      <c r="E225" s="107">
        <v>1</v>
      </c>
      <c r="F225" s="138">
        <v>15</v>
      </c>
      <c r="G225" s="137">
        <v>4.0245699999999998</v>
      </c>
      <c r="H225" s="139" t="s">
        <v>1595</v>
      </c>
      <c r="I225" s="123" t="s">
        <v>1324</v>
      </c>
    </row>
    <row r="226" spans="1:9" ht="68.25" customHeight="1">
      <c r="A226" s="119"/>
      <c r="B226" s="123" t="s">
        <v>1596</v>
      </c>
      <c r="C226" s="81">
        <v>2024</v>
      </c>
      <c r="D226" s="81">
        <v>0.4</v>
      </c>
      <c r="E226" s="107">
        <v>1</v>
      </c>
      <c r="F226" s="138">
        <v>15</v>
      </c>
      <c r="G226" s="137">
        <v>82.734460000000013</v>
      </c>
      <c r="H226" s="139" t="s">
        <v>1597</v>
      </c>
      <c r="I226" s="123" t="s">
        <v>1598</v>
      </c>
    </row>
    <row r="227" spans="1:9" ht="68.25" customHeight="1">
      <c r="A227" s="119"/>
      <c r="B227" s="123" t="s">
        <v>1599</v>
      </c>
      <c r="C227" s="81">
        <v>2024</v>
      </c>
      <c r="D227" s="81">
        <v>0.4</v>
      </c>
      <c r="E227" s="107">
        <v>1</v>
      </c>
      <c r="F227" s="138">
        <v>15</v>
      </c>
      <c r="G227" s="137">
        <v>70.805589999999995</v>
      </c>
      <c r="H227" s="139" t="s">
        <v>1600</v>
      </c>
      <c r="I227" s="123" t="s">
        <v>1601</v>
      </c>
    </row>
    <row r="228" spans="1:9" ht="68.25" customHeight="1">
      <c r="A228" s="119"/>
      <c r="B228" s="123" t="s">
        <v>1602</v>
      </c>
      <c r="C228" s="81">
        <v>2024</v>
      </c>
      <c r="D228" s="81">
        <v>0.4</v>
      </c>
      <c r="E228" s="107">
        <v>1</v>
      </c>
      <c r="F228" s="138">
        <v>15</v>
      </c>
      <c r="G228" s="137">
        <v>83.292369999999991</v>
      </c>
      <c r="H228" s="139" t="s">
        <v>1603</v>
      </c>
      <c r="I228" s="123" t="s">
        <v>1604</v>
      </c>
    </row>
    <row r="229" spans="1:9" ht="68.25" customHeight="1">
      <c r="A229" s="119"/>
      <c r="B229" s="123" t="s">
        <v>1605</v>
      </c>
      <c r="C229" s="81">
        <v>2024</v>
      </c>
      <c r="D229" s="81">
        <v>0.4</v>
      </c>
      <c r="E229" s="107">
        <v>1</v>
      </c>
      <c r="F229" s="138">
        <v>10</v>
      </c>
      <c r="G229" s="137">
        <v>68.036659999999998</v>
      </c>
      <c r="H229" s="139" t="s">
        <v>1606</v>
      </c>
      <c r="I229" s="123" t="s">
        <v>1607</v>
      </c>
    </row>
    <row r="230" spans="1:9" ht="49.5" customHeight="1">
      <c r="A230" s="119"/>
      <c r="B230" s="123" t="s">
        <v>1608</v>
      </c>
      <c r="C230" s="81">
        <v>2024</v>
      </c>
      <c r="D230" s="81">
        <v>0.4</v>
      </c>
      <c r="E230" s="107">
        <v>1</v>
      </c>
      <c r="F230" s="138">
        <v>30</v>
      </c>
      <c r="G230" s="137">
        <v>68.177899999999994</v>
      </c>
      <c r="H230" s="139" t="s">
        <v>1609</v>
      </c>
      <c r="I230" s="123" t="s">
        <v>1383</v>
      </c>
    </row>
    <row r="231" spans="1:9" ht="72.75" customHeight="1">
      <c r="A231" s="119"/>
      <c r="B231" s="123" t="s">
        <v>1610</v>
      </c>
      <c r="C231" s="81">
        <v>2024</v>
      </c>
      <c r="D231" s="81">
        <v>0.4</v>
      </c>
      <c r="E231" s="107">
        <v>1</v>
      </c>
      <c r="F231" s="138">
        <v>30</v>
      </c>
      <c r="G231" s="137">
        <v>68.177899999999994</v>
      </c>
      <c r="H231" s="139" t="s">
        <v>1611</v>
      </c>
      <c r="I231" s="123" t="s">
        <v>1383</v>
      </c>
    </row>
    <row r="232" spans="1:9" ht="72.75" customHeight="1">
      <c r="A232" s="119"/>
      <c r="B232" s="123" t="s">
        <v>1612</v>
      </c>
      <c r="C232" s="81">
        <v>2024</v>
      </c>
      <c r="D232" s="81">
        <v>0.4</v>
      </c>
      <c r="E232" s="107">
        <v>1</v>
      </c>
      <c r="F232" s="138">
        <v>15</v>
      </c>
      <c r="G232" s="137">
        <v>78.784480000000002</v>
      </c>
      <c r="H232" s="139" t="s">
        <v>1613</v>
      </c>
      <c r="I232" s="123" t="s">
        <v>1614</v>
      </c>
    </row>
    <row r="233" spans="1:9" ht="72.75" customHeight="1">
      <c r="A233" s="119"/>
      <c r="B233" s="123" t="s">
        <v>1615</v>
      </c>
      <c r="C233" s="81">
        <v>2024</v>
      </c>
      <c r="D233" s="81">
        <v>0.4</v>
      </c>
      <c r="E233" s="107">
        <v>1</v>
      </c>
      <c r="F233" s="138">
        <v>15</v>
      </c>
      <c r="G233" s="137">
        <v>78.784469999999999</v>
      </c>
      <c r="H233" s="139" t="s">
        <v>1616</v>
      </c>
      <c r="I233" s="123" t="s">
        <v>1614</v>
      </c>
    </row>
    <row r="234" spans="1:9" ht="72.75" customHeight="1">
      <c r="A234" s="81"/>
      <c r="B234" s="123" t="s">
        <v>1617</v>
      </c>
      <c r="C234" s="81">
        <v>2024</v>
      </c>
      <c r="D234" s="81">
        <v>0.4</v>
      </c>
      <c r="E234" s="107">
        <v>1</v>
      </c>
      <c r="F234" s="138">
        <v>15</v>
      </c>
      <c r="G234" s="137">
        <v>71.286810000000003</v>
      </c>
      <c r="H234" s="139" t="s">
        <v>1618</v>
      </c>
      <c r="I234" s="123" t="s">
        <v>1619</v>
      </c>
    </row>
    <row r="235" spans="1:9" ht="51" customHeight="1">
      <c r="A235" s="81"/>
      <c r="B235" s="123" t="s">
        <v>1620</v>
      </c>
      <c r="C235" s="81">
        <v>2024</v>
      </c>
      <c r="D235" s="81">
        <v>0.4</v>
      </c>
      <c r="E235" s="107">
        <v>1</v>
      </c>
      <c r="F235" s="138">
        <v>15</v>
      </c>
      <c r="G235" s="137">
        <v>75.02655</v>
      </c>
      <c r="H235" s="139" t="s">
        <v>1621</v>
      </c>
      <c r="I235" s="123" t="s">
        <v>1298</v>
      </c>
    </row>
    <row r="236" spans="1:9" ht="65.25" customHeight="1">
      <c r="A236" s="81"/>
      <c r="B236" s="123" t="s">
        <v>1622</v>
      </c>
      <c r="C236" s="81">
        <v>2024</v>
      </c>
      <c r="D236" s="81">
        <v>0.4</v>
      </c>
      <c r="E236" s="107">
        <v>1</v>
      </c>
      <c r="F236" s="138">
        <v>15</v>
      </c>
      <c r="G236" s="137">
        <v>75.02655</v>
      </c>
      <c r="H236" s="139" t="s">
        <v>1623</v>
      </c>
      <c r="I236" s="123" t="s">
        <v>1298</v>
      </c>
    </row>
    <row r="237" spans="1:9" ht="74.25" customHeight="1">
      <c r="A237" s="81"/>
      <c r="B237" s="123" t="s">
        <v>1624</v>
      </c>
      <c r="C237" s="81">
        <v>2024</v>
      </c>
      <c r="D237" s="81">
        <v>0.4</v>
      </c>
      <c r="E237" s="107">
        <v>1</v>
      </c>
      <c r="F237" s="138">
        <v>15</v>
      </c>
      <c r="G237" s="137">
        <v>75.02655</v>
      </c>
      <c r="H237" s="139" t="s">
        <v>1625</v>
      </c>
      <c r="I237" s="123" t="s">
        <v>1298</v>
      </c>
    </row>
    <row r="238" spans="1:9" ht="74.25" customHeight="1">
      <c r="A238" s="81"/>
      <c r="B238" s="123" t="s">
        <v>1626</v>
      </c>
      <c r="C238" s="81">
        <v>2024</v>
      </c>
      <c r="D238" s="81">
        <v>0.4</v>
      </c>
      <c r="E238" s="107">
        <v>1</v>
      </c>
      <c r="F238" s="138">
        <v>15</v>
      </c>
      <c r="G238" s="137">
        <v>75.02655</v>
      </c>
      <c r="H238" s="139" t="s">
        <v>1627</v>
      </c>
      <c r="I238" s="123" t="s">
        <v>1298</v>
      </c>
    </row>
    <row r="239" spans="1:9" ht="74.25" customHeight="1">
      <c r="A239" s="81"/>
      <c r="B239" s="123" t="s">
        <v>1628</v>
      </c>
      <c r="C239" s="81">
        <v>2024</v>
      </c>
      <c r="D239" s="81">
        <v>0.4</v>
      </c>
      <c r="E239" s="107">
        <v>1</v>
      </c>
      <c r="F239" s="138">
        <v>15</v>
      </c>
      <c r="G239" s="137">
        <v>75.02655</v>
      </c>
      <c r="H239" s="139" t="s">
        <v>1629</v>
      </c>
      <c r="I239" s="123" t="s">
        <v>1298</v>
      </c>
    </row>
    <row r="240" spans="1:9" ht="51" customHeight="1">
      <c r="A240" s="81"/>
      <c r="B240" s="123" t="s">
        <v>1630</v>
      </c>
      <c r="C240" s="81">
        <v>2024</v>
      </c>
      <c r="D240" s="81">
        <v>0.4</v>
      </c>
      <c r="E240" s="107">
        <v>1</v>
      </c>
      <c r="F240" s="138">
        <v>15</v>
      </c>
      <c r="G240" s="137">
        <v>75.02655</v>
      </c>
      <c r="H240" s="139" t="s">
        <v>1631</v>
      </c>
      <c r="I240" s="123" t="s">
        <v>1298</v>
      </c>
    </row>
    <row r="241" spans="1:9" ht="71.25" customHeight="1">
      <c r="A241" s="81"/>
      <c r="B241" s="123" t="s">
        <v>1632</v>
      </c>
      <c r="C241" s="81">
        <v>2024</v>
      </c>
      <c r="D241" s="81">
        <v>0.4</v>
      </c>
      <c r="E241" s="107">
        <v>1</v>
      </c>
      <c r="F241" s="138">
        <v>15</v>
      </c>
      <c r="G241" s="137">
        <v>75.02655</v>
      </c>
      <c r="H241" s="139" t="s">
        <v>1633</v>
      </c>
      <c r="I241" s="123" t="s">
        <v>1298</v>
      </c>
    </row>
    <row r="242" spans="1:9" ht="71.25" customHeight="1">
      <c r="A242" s="81"/>
      <c r="B242" s="123" t="s">
        <v>1634</v>
      </c>
      <c r="C242" s="81">
        <v>2024</v>
      </c>
      <c r="D242" s="81">
        <v>0.4</v>
      </c>
      <c r="E242" s="107">
        <v>1</v>
      </c>
      <c r="F242" s="138">
        <v>15</v>
      </c>
      <c r="G242" s="137">
        <v>75.02655</v>
      </c>
      <c r="H242" s="139" t="s">
        <v>1635</v>
      </c>
      <c r="I242" s="123" t="s">
        <v>1298</v>
      </c>
    </row>
    <row r="243" spans="1:9" ht="71.25" customHeight="1">
      <c r="A243" s="81"/>
      <c r="B243" s="123" t="s">
        <v>1636</v>
      </c>
      <c r="C243" s="81">
        <v>2024</v>
      </c>
      <c r="D243" s="81">
        <v>0.4</v>
      </c>
      <c r="E243" s="107">
        <v>1</v>
      </c>
      <c r="F243" s="138">
        <v>15</v>
      </c>
      <c r="G243" s="137">
        <v>75.02655</v>
      </c>
      <c r="H243" s="139" t="s">
        <v>1637</v>
      </c>
      <c r="I243" s="123" t="s">
        <v>1298</v>
      </c>
    </row>
    <row r="244" spans="1:9" ht="71.25" customHeight="1">
      <c r="A244" s="81"/>
      <c r="B244" s="123" t="s">
        <v>1638</v>
      </c>
      <c r="C244" s="81">
        <v>2024</v>
      </c>
      <c r="D244" s="81">
        <v>0.4</v>
      </c>
      <c r="E244" s="107">
        <v>1</v>
      </c>
      <c r="F244" s="138">
        <v>15</v>
      </c>
      <c r="G244" s="137">
        <v>75.02655</v>
      </c>
      <c r="H244" s="139" t="s">
        <v>1639</v>
      </c>
      <c r="I244" s="123" t="s">
        <v>1298</v>
      </c>
    </row>
    <row r="245" spans="1:9" ht="71.25" customHeight="1">
      <c r="A245" s="81"/>
      <c r="B245" s="123" t="s">
        <v>1640</v>
      </c>
      <c r="C245" s="81">
        <v>2024</v>
      </c>
      <c r="D245" s="81">
        <v>0.4</v>
      </c>
      <c r="E245" s="107">
        <v>1</v>
      </c>
      <c r="F245" s="138">
        <v>15</v>
      </c>
      <c r="G245" s="137">
        <v>75.02655</v>
      </c>
      <c r="H245" s="139" t="s">
        <v>1641</v>
      </c>
      <c r="I245" s="123" t="s">
        <v>1298</v>
      </c>
    </row>
    <row r="246" spans="1:9" ht="71.25" customHeight="1">
      <c r="A246" s="81"/>
      <c r="B246" s="123" t="s">
        <v>1642</v>
      </c>
      <c r="C246" s="81">
        <v>2024</v>
      </c>
      <c r="D246" s="81">
        <v>0.4</v>
      </c>
      <c r="E246" s="107">
        <v>1</v>
      </c>
      <c r="F246" s="138">
        <v>15</v>
      </c>
      <c r="G246" s="137">
        <v>75.02655</v>
      </c>
      <c r="H246" s="139" t="s">
        <v>1643</v>
      </c>
      <c r="I246" s="123" t="s">
        <v>1298</v>
      </c>
    </row>
    <row r="247" spans="1:9" ht="71.25" customHeight="1">
      <c r="A247" s="81"/>
      <c r="B247" s="123" t="s">
        <v>1644</v>
      </c>
      <c r="C247" s="81">
        <v>2024</v>
      </c>
      <c r="D247" s="81">
        <v>0.4</v>
      </c>
      <c r="E247" s="107">
        <v>1</v>
      </c>
      <c r="F247" s="138">
        <v>15</v>
      </c>
      <c r="G247" s="137">
        <v>75.02655</v>
      </c>
      <c r="H247" s="139" t="s">
        <v>1645</v>
      </c>
      <c r="I247" s="123" t="s">
        <v>1298</v>
      </c>
    </row>
    <row r="248" spans="1:9" ht="51" customHeight="1">
      <c r="A248" s="81"/>
      <c r="B248" s="123" t="s">
        <v>1646</v>
      </c>
      <c r="C248" s="81">
        <v>2024</v>
      </c>
      <c r="D248" s="81">
        <v>0.4</v>
      </c>
      <c r="E248" s="107">
        <v>1</v>
      </c>
      <c r="F248" s="138">
        <v>15</v>
      </c>
      <c r="G248" s="137">
        <v>75.02655</v>
      </c>
      <c r="H248" s="139" t="s">
        <v>1647</v>
      </c>
      <c r="I248" s="123" t="s">
        <v>1298</v>
      </c>
    </row>
    <row r="249" spans="1:9" ht="51" customHeight="1">
      <c r="A249" s="81"/>
      <c r="B249" s="123" t="s">
        <v>1648</v>
      </c>
      <c r="C249" s="81">
        <v>2024</v>
      </c>
      <c r="D249" s="81">
        <v>0.4</v>
      </c>
      <c r="E249" s="107">
        <v>1</v>
      </c>
      <c r="F249" s="138">
        <v>15</v>
      </c>
      <c r="G249" s="137">
        <v>75.02655</v>
      </c>
      <c r="H249" s="139" t="s">
        <v>1649</v>
      </c>
      <c r="I249" s="123" t="s">
        <v>1298</v>
      </c>
    </row>
    <row r="250" spans="1:9" ht="68.25" customHeight="1">
      <c r="A250" s="81"/>
      <c r="B250" s="123" t="s">
        <v>1650</v>
      </c>
      <c r="C250" s="81">
        <v>2024</v>
      </c>
      <c r="D250" s="81">
        <v>0.4</v>
      </c>
      <c r="E250" s="107">
        <v>1</v>
      </c>
      <c r="F250" s="138">
        <v>15</v>
      </c>
      <c r="G250" s="137">
        <v>75.02655</v>
      </c>
      <c r="H250" s="139" t="s">
        <v>1651</v>
      </c>
      <c r="I250" s="123" t="s">
        <v>1298</v>
      </c>
    </row>
    <row r="251" spans="1:9" ht="68.25" customHeight="1">
      <c r="A251" s="81"/>
      <c r="B251" s="123" t="s">
        <v>1652</v>
      </c>
      <c r="C251" s="81">
        <v>2024</v>
      </c>
      <c r="D251" s="81">
        <v>0.4</v>
      </c>
      <c r="E251" s="107">
        <v>1</v>
      </c>
      <c r="F251" s="138">
        <v>15</v>
      </c>
      <c r="G251" s="137">
        <v>79.734100000000012</v>
      </c>
      <c r="H251" s="139" t="s">
        <v>1653</v>
      </c>
      <c r="I251" s="123" t="s">
        <v>1346</v>
      </c>
    </row>
    <row r="252" spans="1:9" ht="68.25" customHeight="1">
      <c r="A252" s="81"/>
      <c r="B252" s="123" t="s">
        <v>1654</v>
      </c>
      <c r="C252" s="81">
        <v>2024</v>
      </c>
      <c r="D252" s="81">
        <v>0.4</v>
      </c>
      <c r="E252" s="107">
        <v>1</v>
      </c>
      <c r="F252" s="138">
        <v>15</v>
      </c>
      <c r="G252" s="137">
        <v>79.734100000000012</v>
      </c>
      <c r="H252" s="139" t="s">
        <v>1655</v>
      </c>
      <c r="I252" s="123" t="s">
        <v>1346</v>
      </c>
    </row>
    <row r="253" spans="1:9" ht="68.25" customHeight="1">
      <c r="A253" s="81"/>
      <c r="B253" s="123" t="s">
        <v>1656</v>
      </c>
      <c r="C253" s="81">
        <v>2024</v>
      </c>
      <c r="D253" s="81">
        <v>0.4</v>
      </c>
      <c r="E253" s="107">
        <v>1</v>
      </c>
      <c r="F253" s="138">
        <v>15</v>
      </c>
      <c r="G253" s="137">
        <v>79.734100000000012</v>
      </c>
      <c r="H253" s="139" t="s">
        <v>1657</v>
      </c>
      <c r="I253" s="123" t="s">
        <v>1346</v>
      </c>
    </row>
    <row r="254" spans="1:9" ht="51" customHeight="1">
      <c r="A254" s="81"/>
      <c r="B254" s="123" t="s">
        <v>1658</v>
      </c>
      <c r="C254" s="81">
        <v>2024</v>
      </c>
      <c r="D254" s="81">
        <v>0.4</v>
      </c>
      <c r="E254" s="107">
        <v>1</v>
      </c>
      <c r="F254" s="138">
        <v>15</v>
      </c>
      <c r="G254" s="137">
        <v>79.734100000000012</v>
      </c>
      <c r="H254" s="139" t="s">
        <v>1659</v>
      </c>
      <c r="I254" s="123" t="s">
        <v>1346</v>
      </c>
    </row>
    <row r="255" spans="1:9" ht="66.75" customHeight="1">
      <c r="A255" s="81"/>
      <c r="B255" s="123" t="s">
        <v>1660</v>
      </c>
      <c r="C255" s="81">
        <v>2024</v>
      </c>
      <c r="D255" s="81">
        <v>0.4</v>
      </c>
      <c r="E255" s="107">
        <v>1</v>
      </c>
      <c r="F255" s="138">
        <v>15</v>
      </c>
      <c r="G255" s="137">
        <v>79.734100000000012</v>
      </c>
      <c r="H255" s="139" t="s">
        <v>1661</v>
      </c>
      <c r="I255" s="123" t="s">
        <v>1346</v>
      </c>
    </row>
    <row r="256" spans="1:9" ht="66.75" customHeight="1">
      <c r="A256" s="81"/>
      <c r="B256" s="123" t="s">
        <v>1662</v>
      </c>
      <c r="C256" s="81">
        <v>2024</v>
      </c>
      <c r="D256" s="81">
        <v>0.4</v>
      </c>
      <c r="E256" s="107">
        <v>1</v>
      </c>
      <c r="F256" s="138">
        <v>15</v>
      </c>
      <c r="G256" s="137">
        <v>68.046789999999987</v>
      </c>
      <c r="H256" s="139" t="s">
        <v>1663</v>
      </c>
      <c r="I256" s="123" t="s">
        <v>1664</v>
      </c>
    </row>
    <row r="257" spans="1:9" ht="66.75" customHeight="1">
      <c r="A257" s="81"/>
      <c r="B257" s="123" t="s">
        <v>1665</v>
      </c>
      <c r="C257" s="81">
        <v>2024</v>
      </c>
      <c r="D257" s="81">
        <v>0.4</v>
      </c>
      <c r="E257" s="107">
        <v>1</v>
      </c>
      <c r="F257" s="138">
        <v>15</v>
      </c>
      <c r="G257" s="137">
        <v>67.993729999999999</v>
      </c>
      <c r="H257" s="139" t="s">
        <v>1666</v>
      </c>
      <c r="I257" s="123" t="s">
        <v>1664</v>
      </c>
    </row>
    <row r="258" spans="1:9" ht="66.75" customHeight="1">
      <c r="A258" s="81"/>
      <c r="B258" s="123" t="s">
        <v>1667</v>
      </c>
      <c r="C258" s="81">
        <v>2024</v>
      </c>
      <c r="D258" s="81">
        <v>0.4</v>
      </c>
      <c r="E258" s="107">
        <v>1</v>
      </c>
      <c r="F258" s="138">
        <v>15</v>
      </c>
      <c r="G258" s="137">
        <v>70.779240000000001</v>
      </c>
      <c r="H258" s="139" t="s">
        <v>1668</v>
      </c>
      <c r="I258" s="123" t="s">
        <v>1487</v>
      </c>
    </row>
    <row r="259" spans="1:9" ht="51" customHeight="1">
      <c r="A259" s="81"/>
      <c r="B259" s="123" t="s">
        <v>1669</v>
      </c>
      <c r="C259" s="81">
        <v>2024</v>
      </c>
      <c r="D259" s="81">
        <v>0.4</v>
      </c>
      <c r="E259" s="107">
        <v>1</v>
      </c>
      <c r="F259" s="138">
        <v>15</v>
      </c>
      <c r="G259" s="137">
        <v>70.779229999999998</v>
      </c>
      <c r="H259" s="139" t="s">
        <v>1670</v>
      </c>
      <c r="I259" s="123" t="s">
        <v>1490</v>
      </c>
    </row>
    <row r="260" spans="1:9" ht="72.75" customHeight="1">
      <c r="A260" s="81"/>
      <c r="B260" s="123" t="s">
        <v>1671</v>
      </c>
      <c r="C260" s="81">
        <v>2024</v>
      </c>
      <c r="D260" s="81">
        <v>0.4</v>
      </c>
      <c r="E260" s="107">
        <v>1</v>
      </c>
      <c r="F260" s="138">
        <v>15</v>
      </c>
      <c r="G260" s="137">
        <v>67.993729999999999</v>
      </c>
      <c r="H260" s="139" t="s">
        <v>1672</v>
      </c>
      <c r="I260" s="123" t="s">
        <v>1664</v>
      </c>
    </row>
    <row r="261" spans="1:9" ht="72.75" customHeight="1">
      <c r="A261" s="81"/>
      <c r="B261" s="123" t="s">
        <v>1673</v>
      </c>
      <c r="C261" s="81">
        <v>2024</v>
      </c>
      <c r="D261" s="81">
        <v>0.4</v>
      </c>
      <c r="E261" s="107">
        <v>1</v>
      </c>
      <c r="F261" s="138">
        <v>15</v>
      </c>
      <c r="G261" s="137">
        <v>70.779229999999998</v>
      </c>
      <c r="H261" s="139" t="s">
        <v>1674</v>
      </c>
      <c r="I261" s="123" t="s">
        <v>1487</v>
      </c>
    </row>
    <row r="262" spans="1:9" ht="72.75" customHeight="1">
      <c r="A262" s="81"/>
      <c r="B262" s="123" t="s">
        <v>1675</v>
      </c>
      <c r="C262" s="81">
        <v>2024</v>
      </c>
      <c r="D262" s="81">
        <v>0.4</v>
      </c>
      <c r="E262" s="107">
        <v>1</v>
      </c>
      <c r="F262" s="138">
        <v>15</v>
      </c>
      <c r="G262" s="137">
        <v>55.711390000000002</v>
      </c>
      <c r="H262" s="139" t="s">
        <v>1676</v>
      </c>
      <c r="I262" s="123" t="s">
        <v>1677</v>
      </c>
    </row>
    <row r="263" spans="1:9" ht="72.75" customHeight="1">
      <c r="A263" s="81"/>
      <c r="B263" s="123" t="s">
        <v>1678</v>
      </c>
      <c r="C263" s="81">
        <v>2024</v>
      </c>
      <c r="D263" s="81">
        <v>0.4</v>
      </c>
      <c r="E263" s="107">
        <v>1</v>
      </c>
      <c r="F263" s="138">
        <v>15</v>
      </c>
      <c r="G263" s="137">
        <v>70.779229999999998</v>
      </c>
      <c r="H263" s="139" t="s">
        <v>1679</v>
      </c>
      <c r="I263" s="123" t="s">
        <v>1490</v>
      </c>
    </row>
    <row r="264" spans="1:9" ht="72.75" customHeight="1">
      <c r="A264" s="81"/>
      <c r="B264" s="123" t="s">
        <v>1680</v>
      </c>
      <c r="C264" s="81">
        <v>2024</v>
      </c>
      <c r="D264" s="81">
        <v>0.4</v>
      </c>
      <c r="E264" s="107">
        <v>1</v>
      </c>
      <c r="F264" s="138">
        <v>15</v>
      </c>
      <c r="G264" s="137">
        <v>69.170169999999999</v>
      </c>
      <c r="H264" s="139" t="s">
        <v>1681</v>
      </c>
      <c r="I264" s="123" t="s">
        <v>1682</v>
      </c>
    </row>
    <row r="265" spans="1:9" ht="72.75" customHeight="1">
      <c r="A265" s="81"/>
      <c r="B265" s="123" t="s">
        <v>1683</v>
      </c>
      <c r="C265" s="81">
        <v>2024</v>
      </c>
      <c r="D265" s="81">
        <v>0.4</v>
      </c>
      <c r="E265" s="107">
        <v>1</v>
      </c>
      <c r="F265" s="138">
        <v>15</v>
      </c>
      <c r="G265" s="137">
        <v>66.670169999999999</v>
      </c>
      <c r="H265" s="139" t="s">
        <v>1684</v>
      </c>
      <c r="I265" s="123" t="s">
        <v>1685</v>
      </c>
    </row>
    <row r="266" spans="1:9" ht="72.75" customHeight="1">
      <c r="A266" s="81"/>
      <c r="B266" s="123" t="s">
        <v>1686</v>
      </c>
      <c r="C266" s="81">
        <v>2024</v>
      </c>
      <c r="D266" s="81">
        <v>0.4</v>
      </c>
      <c r="E266" s="107">
        <v>1</v>
      </c>
      <c r="F266" s="138">
        <v>15</v>
      </c>
      <c r="G266" s="137">
        <v>66.670169999999999</v>
      </c>
      <c r="H266" s="139" t="s">
        <v>1687</v>
      </c>
      <c r="I266" s="123" t="s">
        <v>1688</v>
      </c>
    </row>
    <row r="267" spans="1:9" ht="72.75" customHeight="1">
      <c r="A267" s="81"/>
      <c r="B267" s="123" t="s">
        <v>1689</v>
      </c>
      <c r="C267" s="81">
        <v>2024</v>
      </c>
      <c r="D267" s="81">
        <v>0.4</v>
      </c>
      <c r="E267" s="107">
        <v>1</v>
      </c>
      <c r="F267" s="138">
        <v>15</v>
      </c>
      <c r="G267" s="137">
        <v>55.864570000000001</v>
      </c>
      <c r="H267" s="139" t="s">
        <v>1690</v>
      </c>
      <c r="I267" s="123" t="s">
        <v>1691</v>
      </c>
    </row>
    <row r="268" spans="1:9" ht="72.75" customHeight="1">
      <c r="A268" s="81"/>
      <c r="B268" s="123" t="s">
        <v>1692</v>
      </c>
      <c r="C268" s="81">
        <v>2024</v>
      </c>
      <c r="D268" s="81">
        <v>0.4</v>
      </c>
      <c r="E268" s="107">
        <v>1</v>
      </c>
      <c r="F268" s="138">
        <v>15</v>
      </c>
      <c r="G268" s="137">
        <v>70.833330000000004</v>
      </c>
      <c r="H268" s="139" t="s">
        <v>1693</v>
      </c>
      <c r="I268" s="123" t="s">
        <v>1302</v>
      </c>
    </row>
    <row r="269" spans="1:9" ht="72.75" customHeight="1">
      <c r="A269" s="81"/>
      <c r="B269" s="123" t="s">
        <v>1694</v>
      </c>
      <c r="C269" s="81">
        <v>2024</v>
      </c>
      <c r="D269" s="81">
        <v>0.4</v>
      </c>
      <c r="E269" s="107">
        <v>1</v>
      </c>
      <c r="F269" s="138">
        <v>50</v>
      </c>
      <c r="G269" s="137">
        <v>83.048550000000006</v>
      </c>
      <c r="H269" s="139" t="s">
        <v>1695</v>
      </c>
      <c r="I269" s="123" t="s">
        <v>1450</v>
      </c>
    </row>
    <row r="270" spans="1:9" ht="72.75" customHeight="1">
      <c r="A270" s="81"/>
      <c r="B270" s="123" t="s">
        <v>1696</v>
      </c>
      <c r="C270" s="81">
        <v>2024</v>
      </c>
      <c r="D270" s="81">
        <v>0.4</v>
      </c>
      <c r="E270" s="107">
        <v>1</v>
      </c>
      <c r="F270" s="138">
        <v>15</v>
      </c>
      <c r="G270" s="137">
        <v>70.335890000000006</v>
      </c>
      <c r="H270" s="139" t="s">
        <v>1697</v>
      </c>
      <c r="I270" s="123" t="s">
        <v>1332</v>
      </c>
    </row>
    <row r="271" spans="1:9" ht="72.75" customHeight="1">
      <c r="A271" s="81"/>
      <c r="B271" s="123" t="s">
        <v>1698</v>
      </c>
      <c r="C271" s="81">
        <v>2024</v>
      </c>
      <c r="D271" s="81">
        <v>0.4</v>
      </c>
      <c r="E271" s="107">
        <v>1</v>
      </c>
      <c r="F271" s="138">
        <v>15</v>
      </c>
      <c r="G271" s="137">
        <v>70.335890000000006</v>
      </c>
      <c r="H271" s="139" t="s">
        <v>1699</v>
      </c>
      <c r="I271" s="123" t="s">
        <v>1332</v>
      </c>
    </row>
    <row r="272" spans="1:9" ht="72.75" customHeight="1">
      <c r="A272" s="81"/>
      <c r="B272" s="123" t="s">
        <v>1700</v>
      </c>
      <c r="C272" s="81">
        <v>2024</v>
      </c>
      <c r="D272" s="81">
        <v>0.4</v>
      </c>
      <c r="E272" s="107">
        <v>1</v>
      </c>
      <c r="F272" s="138">
        <v>15</v>
      </c>
      <c r="G272" s="137">
        <v>70.335890000000006</v>
      </c>
      <c r="H272" s="139" t="s">
        <v>1701</v>
      </c>
      <c r="I272" s="123" t="s">
        <v>1332</v>
      </c>
    </row>
    <row r="273" spans="1:9" ht="72.75" customHeight="1">
      <c r="A273" s="81"/>
      <c r="B273" s="123" t="s">
        <v>1702</v>
      </c>
      <c r="C273" s="81">
        <v>2024</v>
      </c>
      <c r="D273" s="81">
        <v>0.4</v>
      </c>
      <c r="E273" s="107">
        <v>1</v>
      </c>
      <c r="F273" s="138">
        <v>15</v>
      </c>
      <c r="G273" s="137">
        <v>70.335890000000006</v>
      </c>
      <c r="H273" s="139" t="s">
        <v>1703</v>
      </c>
      <c r="I273" s="123" t="s">
        <v>1332</v>
      </c>
    </row>
    <row r="274" spans="1:9" ht="72.75" customHeight="1">
      <c r="A274" s="81"/>
      <c r="B274" s="123" t="s">
        <v>1704</v>
      </c>
      <c r="C274" s="81">
        <v>2024</v>
      </c>
      <c r="D274" s="81">
        <v>0.4</v>
      </c>
      <c r="E274" s="107">
        <v>1</v>
      </c>
      <c r="F274" s="138">
        <v>15</v>
      </c>
      <c r="G274" s="137">
        <v>70.945449999999994</v>
      </c>
      <c r="H274" s="139" t="s">
        <v>1705</v>
      </c>
      <c r="I274" s="123" t="s">
        <v>1499</v>
      </c>
    </row>
    <row r="275" spans="1:9" ht="72.75" customHeight="1">
      <c r="A275" s="81"/>
      <c r="B275" s="123" t="s">
        <v>1706</v>
      </c>
      <c r="C275" s="81">
        <v>2024</v>
      </c>
      <c r="D275" s="81">
        <v>0.4</v>
      </c>
      <c r="E275" s="107">
        <v>1</v>
      </c>
      <c r="F275" s="138">
        <v>15</v>
      </c>
      <c r="G275" s="137">
        <v>70.945449999999994</v>
      </c>
      <c r="H275" s="139" t="s">
        <v>1707</v>
      </c>
      <c r="I275" s="123" t="s">
        <v>1499</v>
      </c>
    </row>
    <row r="276" spans="1:9" ht="72.75" customHeight="1">
      <c r="A276" s="81"/>
      <c r="B276" s="123" t="s">
        <v>1708</v>
      </c>
      <c r="C276" s="81">
        <v>2024</v>
      </c>
      <c r="D276" s="81">
        <v>0.4</v>
      </c>
      <c r="E276" s="107">
        <v>1</v>
      </c>
      <c r="F276" s="138">
        <v>15</v>
      </c>
      <c r="G276" s="137">
        <v>70.945449999999994</v>
      </c>
      <c r="H276" s="139" t="s">
        <v>1709</v>
      </c>
      <c r="I276" s="123" t="s">
        <v>1304</v>
      </c>
    </row>
    <row r="277" spans="1:9" ht="72.75" customHeight="1">
      <c r="A277" s="81"/>
      <c r="B277" s="123" t="s">
        <v>1710</v>
      </c>
      <c r="C277" s="81">
        <v>2024</v>
      </c>
      <c r="D277" s="81">
        <v>0.4</v>
      </c>
      <c r="E277" s="107">
        <v>1</v>
      </c>
      <c r="F277" s="138">
        <v>15</v>
      </c>
      <c r="G277" s="137">
        <v>70.945449999999994</v>
      </c>
      <c r="H277" s="139" t="s">
        <v>1711</v>
      </c>
      <c r="I277" s="123" t="s">
        <v>1499</v>
      </c>
    </row>
    <row r="278" spans="1:9" ht="72.75" customHeight="1">
      <c r="A278" s="81"/>
      <c r="B278" s="123" t="s">
        <v>1712</v>
      </c>
      <c r="C278" s="81">
        <v>2024</v>
      </c>
      <c r="D278" s="81">
        <v>0.4</v>
      </c>
      <c r="E278" s="107">
        <v>1</v>
      </c>
      <c r="F278" s="138">
        <v>15</v>
      </c>
      <c r="G278" s="137">
        <v>70.945449999999994</v>
      </c>
      <c r="H278" s="139" t="s">
        <v>1713</v>
      </c>
      <c r="I278" s="123" t="s">
        <v>1304</v>
      </c>
    </row>
    <row r="279" spans="1:9" ht="72.75" customHeight="1">
      <c r="A279" s="81"/>
      <c r="B279" s="123" t="s">
        <v>1714</v>
      </c>
      <c r="C279" s="81">
        <v>2024</v>
      </c>
      <c r="D279" s="81">
        <v>0.4</v>
      </c>
      <c r="E279" s="107">
        <v>1</v>
      </c>
      <c r="F279" s="138">
        <v>15</v>
      </c>
      <c r="G279" s="137">
        <v>70.945449999999994</v>
      </c>
      <c r="H279" s="139" t="s">
        <v>1715</v>
      </c>
      <c r="I279" s="123" t="s">
        <v>1499</v>
      </c>
    </row>
    <row r="280" spans="1:9" ht="72.75" customHeight="1">
      <c r="A280" s="81"/>
      <c r="B280" s="123" t="s">
        <v>1716</v>
      </c>
      <c r="C280" s="81">
        <v>2024</v>
      </c>
      <c r="D280" s="81">
        <v>0.4</v>
      </c>
      <c r="E280" s="107">
        <v>1</v>
      </c>
      <c r="F280" s="138">
        <v>15</v>
      </c>
      <c r="G280" s="137">
        <v>70.945449999999994</v>
      </c>
      <c r="H280" s="139" t="s">
        <v>1717</v>
      </c>
      <c r="I280" s="123" t="s">
        <v>1499</v>
      </c>
    </row>
    <row r="281" spans="1:9" ht="72.75" customHeight="1">
      <c r="A281" s="81"/>
      <c r="B281" s="123" t="s">
        <v>1718</v>
      </c>
      <c r="C281" s="81">
        <v>2024</v>
      </c>
      <c r="D281" s="81">
        <v>0.4</v>
      </c>
      <c r="E281" s="107">
        <v>1</v>
      </c>
      <c r="F281" s="138">
        <v>15</v>
      </c>
      <c r="G281" s="137">
        <v>70.945449999999994</v>
      </c>
      <c r="H281" s="139" t="s">
        <v>1719</v>
      </c>
      <c r="I281" s="123" t="s">
        <v>1499</v>
      </c>
    </row>
    <row r="282" spans="1:9" ht="72.75" customHeight="1">
      <c r="A282" s="81"/>
      <c r="B282" s="123" t="s">
        <v>1720</v>
      </c>
      <c r="C282" s="81">
        <v>2024</v>
      </c>
      <c r="D282" s="81">
        <v>0.4</v>
      </c>
      <c r="E282" s="107">
        <v>1</v>
      </c>
      <c r="F282" s="138">
        <v>15</v>
      </c>
      <c r="G282" s="137">
        <v>70.945449999999994</v>
      </c>
      <c r="H282" s="139" t="s">
        <v>1721</v>
      </c>
      <c r="I282" s="123" t="s">
        <v>1499</v>
      </c>
    </row>
    <row r="283" spans="1:9" ht="72.75" customHeight="1">
      <c r="A283" s="81"/>
      <c r="B283" s="123" t="s">
        <v>1722</v>
      </c>
      <c r="C283" s="81">
        <v>2024</v>
      </c>
      <c r="D283" s="81">
        <v>0.4</v>
      </c>
      <c r="E283" s="107">
        <v>1</v>
      </c>
      <c r="F283" s="138">
        <v>15</v>
      </c>
      <c r="G283" s="137">
        <v>70.945449999999994</v>
      </c>
      <c r="H283" s="139" t="s">
        <v>1723</v>
      </c>
      <c r="I283" s="123" t="s">
        <v>1499</v>
      </c>
    </row>
    <row r="284" spans="1:9" ht="72.75" customHeight="1">
      <c r="A284" s="81"/>
      <c r="B284" s="123" t="s">
        <v>1724</v>
      </c>
      <c r="C284" s="81">
        <v>2024</v>
      </c>
      <c r="D284" s="81">
        <v>0.4</v>
      </c>
      <c r="E284" s="107">
        <v>1</v>
      </c>
      <c r="F284" s="138">
        <v>15</v>
      </c>
      <c r="G284" s="137">
        <v>70.945449999999994</v>
      </c>
      <c r="H284" s="139" t="s">
        <v>1725</v>
      </c>
      <c r="I284" s="123" t="s">
        <v>1499</v>
      </c>
    </row>
    <row r="285" spans="1:9" ht="72.75" customHeight="1">
      <c r="A285" s="81"/>
      <c r="B285" s="123" t="s">
        <v>1726</v>
      </c>
      <c r="C285" s="81">
        <v>2024</v>
      </c>
      <c r="D285" s="81">
        <v>0.4</v>
      </c>
      <c r="E285" s="107">
        <v>1</v>
      </c>
      <c r="F285" s="138">
        <v>15</v>
      </c>
      <c r="G285" s="137">
        <v>70.945449999999994</v>
      </c>
      <c r="H285" s="139" t="s">
        <v>1727</v>
      </c>
      <c r="I285" s="123" t="s">
        <v>1499</v>
      </c>
    </row>
    <row r="286" spans="1:9" ht="72.75" customHeight="1">
      <c r="A286" s="81"/>
      <c r="B286" s="123" t="s">
        <v>1728</v>
      </c>
      <c r="C286" s="81">
        <v>2024</v>
      </c>
      <c r="D286" s="81">
        <v>0.4</v>
      </c>
      <c r="E286" s="107">
        <v>1</v>
      </c>
      <c r="F286" s="138">
        <v>15</v>
      </c>
      <c r="G286" s="137">
        <v>70.945449999999994</v>
      </c>
      <c r="H286" s="139" t="s">
        <v>1729</v>
      </c>
      <c r="I286" s="123" t="s">
        <v>1499</v>
      </c>
    </row>
    <row r="287" spans="1:9" ht="72.75" customHeight="1">
      <c r="A287" s="81"/>
      <c r="B287" s="123" t="s">
        <v>1730</v>
      </c>
      <c r="C287" s="81">
        <v>2024</v>
      </c>
      <c r="D287" s="81">
        <v>0.4</v>
      </c>
      <c r="E287" s="107">
        <v>1</v>
      </c>
      <c r="F287" s="138">
        <v>15</v>
      </c>
      <c r="G287" s="137">
        <v>70.945449999999994</v>
      </c>
      <c r="H287" s="139" t="s">
        <v>1731</v>
      </c>
      <c r="I287" s="123" t="s">
        <v>1304</v>
      </c>
    </row>
    <row r="288" spans="1:9" ht="72.75" customHeight="1">
      <c r="A288" s="81"/>
      <c r="B288" s="123" t="s">
        <v>1732</v>
      </c>
      <c r="C288" s="81">
        <v>2024</v>
      </c>
      <c r="D288" s="81">
        <v>0.4</v>
      </c>
      <c r="E288" s="107">
        <v>1</v>
      </c>
      <c r="F288" s="138">
        <v>15</v>
      </c>
      <c r="G288" s="137">
        <v>70.945449999999994</v>
      </c>
      <c r="H288" s="139" t="s">
        <v>1733</v>
      </c>
      <c r="I288" s="123" t="s">
        <v>1304</v>
      </c>
    </row>
    <row r="289" spans="1:9" ht="72.75" customHeight="1">
      <c r="A289" s="81"/>
      <c r="B289" s="123" t="s">
        <v>1734</v>
      </c>
      <c r="C289" s="81">
        <v>2024</v>
      </c>
      <c r="D289" s="81">
        <v>0.4</v>
      </c>
      <c r="E289" s="107">
        <v>1</v>
      </c>
      <c r="F289" s="138">
        <v>15</v>
      </c>
      <c r="G289" s="137">
        <v>70.945449999999994</v>
      </c>
      <c r="H289" s="139" t="s">
        <v>1735</v>
      </c>
      <c r="I289" s="123" t="s">
        <v>1304</v>
      </c>
    </row>
    <row r="290" spans="1:9" ht="72.75" customHeight="1">
      <c r="A290" s="81"/>
      <c r="B290" s="123" t="s">
        <v>1736</v>
      </c>
      <c r="C290" s="81">
        <v>2024</v>
      </c>
      <c r="D290" s="81">
        <v>0.4</v>
      </c>
      <c r="E290" s="107">
        <v>1</v>
      </c>
      <c r="F290" s="138">
        <v>15</v>
      </c>
      <c r="G290" s="137">
        <v>70.945449999999994</v>
      </c>
      <c r="H290" s="139" t="s">
        <v>1737</v>
      </c>
      <c r="I290" s="123" t="s">
        <v>1304</v>
      </c>
    </row>
    <row r="291" spans="1:9" ht="72.75" customHeight="1">
      <c r="A291" s="81"/>
      <c r="B291" s="123" t="s">
        <v>1738</v>
      </c>
      <c r="C291" s="81">
        <v>2024</v>
      </c>
      <c r="D291" s="81">
        <v>0.4</v>
      </c>
      <c r="E291" s="107">
        <v>1</v>
      </c>
      <c r="F291" s="138">
        <v>15</v>
      </c>
      <c r="G291" s="137">
        <v>70.945449999999994</v>
      </c>
      <c r="H291" s="139" t="s">
        <v>1739</v>
      </c>
      <c r="I291" s="123" t="s">
        <v>1304</v>
      </c>
    </row>
    <row r="292" spans="1:9" ht="72.75" customHeight="1">
      <c r="A292" s="81"/>
      <c r="B292" s="123" t="s">
        <v>1740</v>
      </c>
      <c r="C292" s="81">
        <v>2024</v>
      </c>
      <c r="D292" s="81">
        <v>0.4</v>
      </c>
      <c r="E292" s="107">
        <v>1</v>
      </c>
      <c r="F292" s="138">
        <v>15</v>
      </c>
      <c r="G292" s="137">
        <v>70.945449999999994</v>
      </c>
      <c r="H292" s="139" t="s">
        <v>1741</v>
      </c>
      <c r="I292" s="123" t="s">
        <v>1304</v>
      </c>
    </row>
    <row r="293" spans="1:9" ht="72.75" customHeight="1">
      <c r="A293" s="81"/>
      <c r="B293" s="123" t="s">
        <v>1742</v>
      </c>
      <c r="C293" s="81">
        <v>2024</v>
      </c>
      <c r="D293" s="81">
        <v>0.4</v>
      </c>
      <c r="E293" s="107">
        <v>1</v>
      </c>
      <c r="F293" s="138">
        <v>15</v>
      </c>
      <c r="G293" s="137">
        <v>70.945449999999994</v>
      </c>
      <c r="H293" s="139" t="s">
        <v>1743</v>
      </c>
      <c r="I293" s="123" t="s">
        <v>1304</v>
      </c>
    </row>
    <row r="294" spans="1:9" ht="72.75" customHeight="1">
      <c r="A294" s="81"/>
      <c r="B294" s="123" t="s">
        <v>1744</v>
      </c>
      <c r="C294" s="81">
        <v>2024</v>
      </c>
      <c r="D294" s="81">
        <v>0.4</v>
      </c>
      <c r="E294" s="107">
        <v>1</v>
      </c>
      <c r="F294" s="138">
        <v>15</v>
      </c>
      <c r="G294" s="137">
        <v>70.945449999999994</v>
      </c>
      <c r="H294" s="139" t="s">
        <v>1745</v>
      </c>
      <c r="I294" s="123" t="s">
        <v>1304</v>
      </c>
    </row>
    <row r="295" spans="1:9" ht="72.75" customHeight="1">
      <c r="A295" s="81"/>
      <c r="B295" s="123" t="s">
        <v>1746</v>
      </c>
      <c r="C295" s="81">
        <v>2024</v>
      </c>
      <c r="D295" s="81">
        <v>0.4</v>
      </c>
      <c r="E295" s="107">
        <v>1</v>
      </c>
      <c r="F295" s="138">
        <v>15</v>
      </c>
      <c r="G295" s="137">
        <v>70.945449999999994</v>
      </c>
      <c r="H295" s="139" t="s">
        <v>1747</v>
      </c>
      <c r="I295" s="123" t="s">
        <v>1499</v>
      </c>
    </row>
    <row r="296" spans="1:9" ht="72.75" customHeight="1">
      <c r="A296" s="81"/>
      <c r="B296" s="123" t="s">
        <v>1748</v>
      </c>
      <c r="C296" s="81">
        <v>2024</v>
      </c>
      <c r="D296" s="81">
        <v>0.4</v>
      </c>
      <c r="E296" s="107">
        <v>1</v>
      </c>
      <c r="F296" s="138">
        <v>15</v>
      </c>
      <c r="G296" s="137">
        <v>70.945449999999994</v>
      </c>
      <c r="H296" s="139" t="s">
        <v>1749</v>
      </c>
      <c r="I296" s="123" t="s">
        <v>1499</v>
      </c>
    </row>
    <row r="297" spans="1:9" ht="72.75" customHeight="1">
      <c r="A297" s="81"/>
      <c r="B297" s="123" t="s">
        <v>1750</v>
      </c>
      <c r="C297" s="81">
        <v>2024</v>
      </c>
      <c r="D297" s="81">
        <v>0.4</v>
      </c>
      <c r="E297" s="107">
        <v>1</v>
      </c>
      <c r="F297" s="138">
        <v>15</v>
      </c>
      <c r="G297" s="137">
        <v>70.945449999999994</v>
      </c>
      <c r="H297" s="139" t="s">
        <v>1751</v>
      </c>
      <c r="I297" s="123" t="s">
        <v>1499</v>
      </c>
    </row>
    <row r="298" spans="1:9" ht="72.75" customHeight="1">
      <c r="A298" s="81"/>
      <c r="B298" s="123" t="s">
        <v>1752</v>
      </c>
      <c r="C298" s="81">
        <v>2024</v>
      </c>
      <c r="D298" s="81">
        <v>0.4</v>
      </c>
      <c r="E298" s="107">
        <v>1</v>
      </c>
      <c r="F298" s="138">
        <v>15</v>
      </c>
      <c r="G298" s="137">
        <v>70.945449999999994</v>
      </c>
      <c r="H298" s="139" t="s">
        <v>1753</v>
      </c>
      <c r="I298" s="123" t="s">
        <v>1499</v>
      </c>
    </row>
    <row r="299" spans="1:9" ht="72.75" customHeight="1">
      <c r="A299" s="81"/>
      <c r="B299" s="123" t="s">
        <v>1754</v>
      </c>
      <c r="C299" s="81">
        <v>2024</v>
      </c>
      <c r="D299" s="81">
        <v>0.4</v>
      </c>
      <c r="E299" s="107">
        <v>1</v>
      </c>
      <c r="F299" s="138">
        <v>15</v>
      </c>
      <c r="G299" s="137">
        <v>70.945449999999994</v>
      </c>
      <c r="H299" s="139" t="s">
        <v>1755</v>
      </c>
      <c r="I299" s="123" t="s">
        <v>1499</v>
      </c>
    </row>
    <row r="300" spans="1:9" ht="72.75" customHeight="1">
      <c r="A300" s="81"/>
      <c r="B300" s="123" t="s">
        <v>1756</v>
      </c>
      <c r="C300" s="81">
        <v>2024</v>
      </c>
      <c r="D300" s="81">
        <v>0.4</v>
      </c>
      <c r="E300" s="107">
        <v>1</v>
      </c>
      <c r="F300" s="138">
        <v>15</v>
      </c>
      <c r="G300" s="137">
        <v>70.945449999999994</v>
      </c>
      <c r="H300" s="139" t="s">
        <v>1757</v>
      </c>
      <c r="I300" s="123" t="s">
        <v>1499</v>
      </c>
    </row>
    <row r="301" spans="1:9" ht="72.75" customHeight="1">
      <c r="A301" s="81"/>
      <c r="B301" s="123" t="s">
        <v>1758</v>
      </c>
      <c r="C301" s="81">
        <v>2024</v>
      </c>
      <c r="D301" s="81">
        <v>0.4</v>
      </c>
      <c r="E301" s="107">
        <v>1</v>
      </c>
      <c r="F301" s="138">
        <v>15</v>
      </c>
      <c r="G301" s="137">
        <v>70.945449999999994</v>
      </c>
      <c r="H301" s="139" t="s">
        <v>1759</v>
      </c>
      <c r="I301" s="123" t="s">
        <v>1499</v>
      </c>
    </row>
    <row r="302" spans="1:9" ht="72.75" customHeight="1">
      <c r="A302" s="81"/>
      <c r="B302" s="123" t="s">
        <v>1760</v>
      </c>
      <c r="C302" s="81">
        <v>2024</v>
      </c>
      <c r="D302" s="81">
        <v>0.4</v>
      </c>
      <c r="E302" s="107">
        <v>1</v>
      </c>
      <c r="F302" s="138">
        <v>15</v>
      </c>
      <c r="G302" s="137">
        <v>70.945449999999994</v>
      </c>
      <c r="H302" s="139" t="s">
        <v>1761</v>
      </c>
      <c r="I302" s="123" t="s">
        <v>1499</v>
      </c>
    </row>
    <row r="303" spans="1:9" ht="72.75" customHeight="1">
      <c r="A303" s="81"/>
      <c r="B303" s="123" t="s">
        <v>1762</v>
      </c>
      <c r="C303" s="81">
        <v>2024</v>
      </c>
      <c r="D303" s="81">
        <v>0.4</v>
      </c>
      <c r="E303" s="107">
        <v>1</v>
      </c>
      <c r="F303" s="138">
        <v>15</v>
      </c>
      <c r="G303" s="137">
        <v>72.563009999999991</v>
      </c>
      <c r="H303" s="139" t="s">
        <v>1763</v>
      </c>
      <c r="I303" s="123" t="s">
        <v>1304</v>
      </c>
    </row>
    <row r="304" spans="1:9" ht="72.75" customHeight="1">
      <c r="A304" s="81"/>
      <c r="B304" s="123" t="s">
        <v>1764</v>
      </c>
      <c r="C304" s="81">
        <v>2024</v>
      </c>
      <c r="D304" s="81">
        <v>0.4</v>
      </c>
      <c r="E304" s="107">
        <v>1</v>
      </c>
      <c r="F304" s="138">
        <v>15</v>
      </c>
      <c r="G304" s="137">
        <v>72.563009999999991</v>
      </c>
      <c r="H304" s="139" t="s">
        <v>1765</v>
      </c>
      <c r="I304" s="123" t="s">
        <v>1304</v>
      </c>
    </row>
    <row r="305" spans="1:9" ht="72.75" customHeight="1">
      <c r="A305" s="81"/>
      <c r="B305" s="123" t="s">
        <v>1766</v>
      </c>
      <c r="C305" s="81">
        <v>2024</v>
      </c>
      <c r="D305" s="81">
        <v>0.4</v>
      </c>
      <c r="E305" s="107">
        <v>1</v>
      </c>
      <c r="F305" s="138">
        <v>15</v>
      </c>
      <c r="G305" s="137">
        <v>72.563009999999991</v>
      </c>
      <c r="H305" s="139" t="s">
        <v>1767</v>
      </c>
      <c r="I305" s="123" t="s">
        <v>1304</v>
      </c>
    </row>
    <row r="306" spans="1:9" ht="72.75" customHeight="1">
      <c r="A306" s="81"/>
      <c r="B306" s="123" t="s">
        <v>1768</v>
      </c>
      <c r="C306" s="81">
        <v>2024</v>
      </c>
      <c r="D306" s="81">
        <v>0.4</v>
      </c>
      <c r="E306" s="107">
        <v>1</v>
      </c>
      <c r="F306" s="138">
        <v>15</v>
      </c>
      <c r="G306" s="137">
        <v>72.563009999999991</v>
      </c>
      <c r="H306" s="139" t="s">
        <v>1769</v>
      </c>
      <c r="I306" s="123" t="s">
        <v>1304</v>
      </c>
    </row>
    <row r="307" spans="1:9" ht="72.75" customHeight="1">
      <c r="A307" s="81"/>
      <c r="B307" s="123" t="s">
        <v>1770</v>
      </c>
      <c r="C307" s="81">
        <v>2024</v>
      </c>
      <c r="D307" s="81">
        <v>0.4</v>
      </c>
      <c r="E307" s="107">
        <v>1</v>
      </c>
      <c r="F307" s="138">
        <v>15</v>
      </c>
      <c r="G307" s="137">
        <v>72.563009999999991</v>
      </c>
      <c r="H307" s="139" t="s">
        <v>1771</v>
      </c>
      <c r="I307" s="123" t="s">
        <v>1304</v>
      </c>
    </row>
    <row r="308" spans="1:9" ht="72.75" customHeight="1">
      <c r="A308" s="81"/>
      <c r="B308" s="123" t="s">
        <v>1772</v>
      </c>
      <c r="C308" s="81">
        <v>2024</v>
      </c>
      <c r="D308" s="81">
        <v>0.4</v>
      </c>
      <c r="E308" s="107">
        <v>1</v>
      </c>
      <c r="F308" s="138">
        <v>15</v>
      </c>
      <c r="G308" s="137">
        <v>72.563009999999991</v>
      </c>
      <c r="H308" s="139" t="s">
        <v>1773</v>
      </c>
      <c r="I308" s="123" t="s">
        <v>1304</v>
      </c>
    </row>
    <row r="309" spans="1:9" ht="72.75" customHeight="1">
      <c r="A309" s="81"/>
      <c r="B309" s="123" t="s">
        <v>1774</v>
      </c>
      <c r="C309" s="81">
        <v>2024</v>
      </c>
      <c r="D309" s="81">
        <v>0.4</v>
      </c>
      <c r="E309" s="107">
        <v>1</v>
      </c>
      <c r="F309" s="138">
        <v>15</v>
      </c>
      <c r="G309" s="137">
        <v>72.563009999999991</v>
      </c>
      <c r="H309" s="139" t="s">
        <v>1775</v>
      </c>
      <c r="I309" s="123" t="s">
        <v>1304</v>
      </c>
    </row>
    <row r="310" spans="1:9" ht="72.75" customHeight="1">
      <c r="A310" s="81"/>
      <c r="B310" s="123" t="s">
        <v>1776</v>
      </c>
      <c r="C310" s="81">
        <v>2024</v>
      </c>
      <c r="D310" s="81">
        <v>0.4</v>
      </c>
      <c r="E310" s="107">
        <v>1</v>
      </c>
      <c r="F310" s="138">
        <v>15</v>
      </c>
      <c r="G310" s="137">
        <v>72.563009999999991</v>
      </c>
      <c r="H310" s="139" t="s">
        <v>1777</v>
      </c>
      <c r="I310" s="123" t="s">
        <v>1304</v>
      </c>
    </row>
    <row r="311" spans="1:9" ht="72.75" customHeight="1">
      <c r="A311" s="81"/>
      <c r="B311" s="123" t="s">
        <v>1778</v>
      </c>
      <c r="C311" s="81">
        <v>2024</v>
      </c>
      <c r="D311" s="81">
        <v>0.4</v>
      </c>
      <c r="E311" s="107">
        <v>1</v>
      </c>
      <c r="F311" s="138">
        <v>15</v>
      </c>
      <c r="G311" s="137">
        <v>72.563009999999991</v>
      </c>
      <c r="H311" s="139" t="s">
        <v>1779</v>
      </c>
      <c r="I311" s="123" t="s">
        <v>1304</v>
      </c>
    </row>
    <row r="312" spans="1:9" ht="72.75" customHeight="1">
      <c r="A312" s="81"/>
      <c r="B312" s="123" t="s">
        <v>1780</v>
      </c>
      <c r="C312" s="81">
        <v>2024</v>
      </c>
      <c r="D312" s="81">
        <v>0.4</v>
      </c>
      <c r="E312" s="107">
        <v>1</v>
      </c>
      <c r="F312" s="138">
        <v>15</v>
      </c>
      <c r="G312" s="137">
        <v>72.563009999999991</v>
      </c>
      <c r="H312" s="139" t="s">
        <v>1781</v>
      </c>
      <c r="I312" s="123" t="s">
        <v>1304</v>
      </c>
    </row>
    <row r="313" spans="1:9" ht="72.75" customHeight="1">
      <c r="A313" s="81"/>
      <c r="B313" s="123" t="s">
        <v>1782</v>
      </c>
      <c r="C313" s="81">
        <v>2024</v>
      </c>
      <c r="D313" s="81">
        <v>0.4</v>
      </c>
      <c r="E313" s="107">
        <v>1</v>
      </c>
      <c r="F313" s="138">
        <v>15</v>
      </c>
      <c r="G313" s="137">
        <v>72.563009999999991</v>
      </c>
      <c r="H313" s="139" t="s">
        <v>1783</v>
      </c>
      <c r="I313" s="123" t="s">
        <v>1304</v>
      </c>
    </row>
    <row r="314" spans="1:9" ht="72.75" customHeight="1">
      <c r="A314" s="81"/>
      <c r="B314" s="123" t="s">
        <v>1784</v>
      </c>
      <c r="C314" s="81">
        <v>2024</v>
      </c>
      <c r="D314" s="81">
        <v>0.4</v>
      </c>
      <c r="E314" s="107">
        <v>1</v>
      </c>
      <c r="F314" s="138">
        <v>15</v>
      </c>
      <c r="G314" s="137">
        <v>72.563009999999991</v>
      </c>
      <c r="H314" s="139" t="s">
        <v>1785</v>
      </c>
      <c r="I314" s="123" t="s">
        <v>1304</v>
      </c>
    </row>
    <row r="315" spans="1:9" ht="72.75" customHeight="1">
      <c r="A315" s="81"/>
      <c r="B315" s="123" t="s">
        <v>1786</v>
      </c>
      <c r="C315" s="81">
        <v>2024</v>
      </c>
      <c r="D315" s="81">
        <v>0.4</v>
      </c>
      <c r="E315" s="107">
        <v>1</v>
      </c>
      <c r="F315" s="138">
        <v>15</v>
      </c>
      <c r="G315" s="137">
        <v>72.563009999999991</v>
      </c>
      <c r="H315" s="139" t="s">
        <v>1787</v>
      </c>
      <c r="I315" s="123" t="s">
        <v>1304</v>
      </c>
    </row>
    <row r="316" spans="1:9" ht="72.75" customHeight="1">
      <c r="A316" s="81"/>
      <c r="B316" s="123" t="s">
        <v>1788</v>
      </c>
      <c r="C316" s="81">
        <v>2024</v>
      </c>
      <c r="D316" s="81">
        <v>0.4</v>
      </c>
      <c r="E316" s="107">
        <v>1</v>
      </c>
      <c r="F316" s="138">
        <v>15</v>
      </c>
      <c r="G316" s="137">
        <v>72.563009999999991</v>
      </c>
      <c r="H316" s="139" t="s">
        <v>1789</v>
      </c>
      <c r="I316" s="123" t="s">
        <v>1304</v>
      </c>
    </row>
    <row r="317" spans="1:9" ht="72.75" customHeight="1">
      <c r="A317" s="81"/>
      <c r="B317" s="123" t="s">
        <v>1790</v>
      </c>
      <c r="C317" s="81">
        <v>2024</v>
      </c>
      <c r="D317" s="81">
        <v>0.4</v>
      </c>
      <c r="E317" s="107">
        <v>1</v>
      </c>
      <c r="F317" s="138">
        <v>15</v>
      </c>
      <c r="G317" s="137">
        <v>72.563009999999991</v>
      </c>
      <c r="H317" s="139" t="s">
        <v>1791</v>
      </c>
      <c r="I317" s="123" t="s">
        <v>1499</v>
      </c>
    </row>
    <row r="318" spans="1:9" ht="72.75" customHeight="1">
      <c r="A318" s="81"/>
      <c r="B318" s="123" t="s">
        <v>1792</v>
      </c>
      <c r="C318" s="81">
        <v>2024</v>
      </c>
      <c r="D318" s="81">
        <v>0.4</v>
      </c>
      <c r="E318" s="107">
        <v>1</v>
      </c>
      <c r="F318" s="138">
        <v>15</v>
      </c>
      <c r="G318" s="137">
        <v>72.563009999999991</v>
      </c>
      <c r="H318" s="139" t="s">
        <v>1793</v>
      </c>
      <c r="I318" s="123" t="s">
        <v>1499</v>
      </c>
    </row>
    <row r="319" spans="1:9" ht="72.75" customHeight="1">
      <c r="A319" s="81"/>
      <c r="B319" s="123" t="s">
        <v>1794</v>
      </c>
      <c r="C319" s="81">
        <v>2024</v>
      </c>
      <c r="D319" s="81">
        <v>0.4</v>
      </c>
      <c r="E319" s="107">
        <v>1</v>
      </c>
      <c r="F319" s="138">
        <v>15</v>
      </c>
      <c r="G319" s="137">
        <v>72.563000000000002</v>
      </c>
      <c r="H319" s="139" t="s">
        <v>1795</v>
      </c>
      <c r="I319" s="123" t="s">
        <v>1304</v>
      </c>
    </row>
    <row r="320" spans="1:9" ht="72.75" customHeight="1">
      <c r="A320" s="81"/>
      <c r="B320" s="123" t="s">
        <v>1796</v>
      </c>
      <c r="C320" s="81">
        <v>2024</v>
      </c>
      <c r="D320" s="81">
        <v>0.4</v>
      </c>
      <c r="E320" s="107">
        <v>1</v>
      </c>
      <c r="F320" s="138">
        <v>15</v>
      </c>
      <c r="G320" s="137">
        <v>72.563000000000002</v>
      </c>
      <c r="H320" s="139" t="s">
        <v>1797</v>
      </c>
      <c r="I320" s="123" t="s">
        <v>1304</v>
      </c>
    </row>
    <row r="321" spans="1:9" ht="72.75" customHeight="1">
      <c r="A321" s="81"/>
      <c r="B321" s="123" t="s">
        <v>1798</v>
      </c>
      <c r="C321" s="81">
        <v>2024</v>
      </c>
      <c r="D321" s="81">
        <v>0.4</v>
      </c>
      <c r="E321" s="107">
        <v>1</v>
      </c>
      <c r="F321" s="138">
        <v>15</v>
      </c>
      <c r="G321" s="137">
        <v>72.563000000000002</v>
      </c>
      <c r="H321" s="139" t="s">
        <v>1799</v>
      </c>
      <c r="I321" s="123" t="s">
        <v>1304</v>
      </c>
    </row>
    <row r="322" spans="1:9" ht="72.75" customHeight="1">
      <c r="A322" s="81"/>
      <c r="B322" s="123" t="s">
        <v>1800</v>
      </c>
      <c r="C322" s="81">
        <v>2024</v>
      </c>
      <c r="D322" s="81">
        <v>0.4</v>
      </c>
      <c r="E322" s="107">
        <v>1</v>
      </c>
      <c r="F322" s="138">
        <v>15</v>
      </c>
      <c r="G322" s="137">
        <v>72.563000000000002</v>
      </c>
      <c r="H322" s="139" t="s">
        <v>1801</v>
      </c>
      <c r="I322" s="123" t="s">
        <v>1499</v>
      </c>
    </row>
    <row r="323" spans="1:9" ht="72.75" customHeight="1">
      <c r="A323" s="81"/>
      <c r="B323" s="123" t="s">
        <v>1802</v>
      </c>
      <c r="C323" s="81">
        <v>2024</v>
      </c>
      <c r="D323" s="81">
        <v>0.4</v>
      </c>
      <c r="E323" s="107">
        <v>1</v>
      </c>
      <c r="F323" s="138">
        <v>15</v>
      </c>
      <c r="G323" s="137">
        <v>72.563000000000002</v>
      </c>
      <c r="H323" s="139" t="s">
        <v>1803</v>
      </c>
      <c r="I323" s="123" t="s">
        <v>1499</v>
      </c>
    </row>
    <row r="324" spans="1:9" ht="72.75" customHeight="1">
      <c r="A324" s="81"/>
      <c r="B324" s="123" t="s">
        <v>1804</v>
      </c>
      <c r="C324" s="81">
        <v>2024</v>
      </c>
      <c r="D324" s="81">
        <v>0.4</v>
      </c>
      <c r="E324" s="107">
        <v>1</v>
      </c>
      <c r="F324" s="138">
        <v>15</v>
      </c>
      <c r="G324" s="137">
        <v>67.382379999999998</v>
      </c>
      <c r="H324" s="139" t="s">
        <v>1805</v>
      </c>
      <c r="I324" s="123" t="s">
        <v>1523</v>
      </c>
    </row>
    <row r="325" spans="1:9" ht="72.75" customHeight="1">
      <c r="A325" s="81"/>
      <c r="B325" s="123" t="s">
        <v>1806</v>
      </c>
      <c r="C325" s="81">
        <v>2024</v>
      </c>
      <c r="D325" s="81">
        <v>0.4</v>
      </c>
      <c r="E325" s="107">
        <v>1</v>
      </c>
      <c r="F325" s="138">
        <v>10</v>
      </c>
      <c r="G325" s="137">
        <v>67.382379999999998</v>
      </c>
      <c r="H325" s="139" t="s">
        <v>1807</v>
      </c>
      <c r="I325" s="123" t="s">
        <v>1523</v>
      </c>
    </row>
    <row r="326" spans="1:9" ht="72.75" customHeight="1">
      <c r="A326" s="81"/>
      <c r="B326" s="123" t="s">
        <v>1808</v>
      </c>
      <c r="C326" s="81">
        <v>2024</v>
      </c>
      <c r="D326" s="81">
        <v>0.4</v>
      </c>
      <c r="E326" s="107">
        <v>1</v>
      </c>
      <c r="F326" s="138">
        <v>15</v>
      </c>
      <c r="G326" s="137">
        <v>72.274190000000004</v>
      </c>
      <c r="H326" s="139" t="s">
        <v>1809</v>
      </c>
      <c r="I326" s="123" t="s">
        <v>1810</v>
      </c>
    </row>
    <row r="327" spans="1:9" ht="72.75" customHeight="1">
      <c r="A327" s="81"/>
      <c r="B327" s="123" t="s">
        <v>1811</v>
      </c>
      <c r="C327" s="81">
        <v>2024</v>
      </c>
      <c r="D327" s="81">
        <v>0.4</v>
      </c>
      <c r="E327" s="107">
        <v>1</v>
      </c>
      <c r="F327" s="138">
        <v>15</v>
      </c>
      <c r="G327" s="137">
        <v>67.480649999999997</v>
      </c>
      <c r="H327" s="139" t="s">
        <v>1812</v>
      </c>
      <c r="I327" s="123" t="s">
        <v>1336</v>
      </c>
    </row>
    <row r="328" spans="1:9" ht="72.75" customHeight="1">
      <c r="A328" s="81"/>
      <c r="B328" s="123" t="s">
        <v>1813</v>
      </c>
      <c r="C328" s="81">
        <v>2024</v>
      </c>
      <c r="D328" s="81">
        <v>0.4</v>
      </c>
      <c r="E328" s="107">
        <v>1</v>
      </c>
      <c r="F328" s="138">
        <v>15</v>
      </c>
      <c r="G328" s="137">
        <v>62.72486</v>
      </c>
      <c r="H328" s="139" t="s">
        <v>1814</v>
      </c>
      <c r="I328" s="123" t="s">
        <v>1336</v>
      </c>
    </row>
    <row r="329" spans="1:9" ht="72.75" customHeight="1">
      <c r="A329" s="81"/>
      <c r="B329" s="123" t="s">
        <v>1815</v>
      </c>
      <c r="C329" s="81">
        <v>2024</v>
      </c>
      <c r="D329" s="81">
        <v>0.4</v>
      </c>
      <c r="E329" s="107">
        <v>1</v>
      </c>
      <c r="F329" s="138">
        <v>15</v>
      </c>
      <c r="G329" s="137">
        <v>65.571509999999989</v>
      </c>
      <c r="H329" s="139" t="s">
        <v>1816</v>
      </c>
      <c r="I329" s="123" t="s">
        <v>1405</v>
      </c>
    </row>
    <row r="330" spans="1:9" ht="72.75" customHeight="1">
      <c r="A330" s="81"/>
      <c r="B330" s="123" t="s">
        <v>1817</v>
      </c>
      <c r="C330" s="81">
        <v>2024</v>
      </c>
      <c r="D330" s="81">
        <v>0.4</v>
      </c>
      <c r="E330" s="107">
        <v>1</v>
      </c>
      <c r="F330" s="138">
        <v>15</v>
      </c>
      <c r="G330" s="137">
        <v>65.571509999999989</v>
      </c>
      <c r="H330" s="139" t="s">
        <v>1818</v>
      </c>
      <c r="I330" s="123" t="s">
        <v>1405</v>
      </c>
    </row>
    <row r="331" spans="1:9" ht="72.75" customHeight="1">
      <c r="A331" s="81"/>
      <c r="B331" s="123" t="s">
        <v>1819</v>
      </c>
      <c r="C331" s="81">
        <v>2024</v>
      </c>
      <c r="D331" s="81">
        <v>0.4</v>
      </c>
      <c r="E331" s="107">
        <v>1</v>
      </c>
      <c r="F331" s="138">
        <v>15</v>
      </c>
      <c r="G331" s="137">
        <v>70.520270000000011</v>
      </c>
      <c r="H331" s="139" t="s">
        <v>1820</v>
      </c>
      <c r="I331" s="123" t="s">
        <v>1405</v>
      </c>
    </row>
    <row r="332" spans="1:9" ht="72.75" customHeight="1">
      <c r="A332" s="81"/>
      <c r="B332" s="123" t="s">
        <v>1821</v>
      </c>
      <c r="C332" s="81">
        <v>2024</v>
      </c>
      <c r="D332" s="81">
        <v>0.4</v>
      </c>
      <c r="E332" s="107">
        <v>1</v>
      </c>
      <c r="F332" s="138">
        <v>15</v>
      </c>
      <c r="G332" s="137">
        <v>53.3536</v>
      </c>
      <c r="H332" s="139" t="s">
        <v>1822</v>
      </c>
      <c r="I332" s="123" t="s">
        <v>1405</v>
      </c>
    </row>
    <row r="333" spans="1:9" ht="72.75" customHeight="1">
      <c r="A333" s="81"/>
      <c r="B333" s="123" t="s">
        <v>1823</v>
      </c>
      <c r="C333" s="81">
        <v>2024</v>
      </c>
      <c r="D333" s="81">
        <v>0.4</v>
      </c>
      <c r="E333" s="107">
        <v>1</v>
      </c>
      <c r="F333" s="138">
        <v>15</v>
      </c>
      <c r="G333" s="137">
        <v>70.520270000000011</v>
      </c>
      <c r="H333" s="139" t="s">
        <v>1824</v>
      </c>
      <c r="I333" s="123" t="s">
        <v>1405</v>
      </c>
    </row>
    <row r="334" spans="1:9" ht="72.75" customHeight="1">
      <c r="A334" s="81"/>
      <c r="B334" s="123" t="s">
        <v>1825</v>
      </c>
      <c r="C334" s="81">
        <v>2024</v>
      </c>
      <c r="D334" s="81">
        <v>0.4</v>
      </c>
      <c r="E334" s="107">
        <v>1</v>
      </c>
      <c r="F334" s="138">
        <v>15</v>
      </c>
      <c r="G334" s="137">
        <v>70.042450000000002</v>
      </c>
      <c r="H334" s="139" t="s">
        <v>1826</v>
      </c>
      <c r="I334" s="123" t="s">
        <v>1827</v>
      </c>
    </row>
    <row r="335" spans="1:9" ht="72.75" customHeight="1">
      <c r="A335" s="81"/>
      <c r="B335" s="123" t="s">
        <v>1828</v>
      </c>
      <c r="C335" s="81">
        <v>2024</v>
      </c>
      <c r="D335" s="81">
        <v>0.4</v>
      </c>
      <c r="E335" s="107">
        <v>1</v>
      </c>
      <c r="F335" s="138">
        <v>15</v>
      </c>
      <c r="G335" s="137">
        <v>63.753599999999999</v>
      </c>
      <c r="H335" s="139" t="s">
        <v>1829</v>
      </c>
      <c r="I335" s="123" t="s">
        <v>1523</v>
      </c>
    </row>
    <row r="336" spans="1:9" ht="72.75" customHeight="1">
      <c r="A336" s="81"/>
      <c r="B336" s="123" t="s">
        <v>1830</v>
      </c>
      <c r="C336" s="81">
        <v>2024</v>
      </c>
      <c r="D336" s="81">
        <v>0.4</v>
      </c>
      <c r="E336" s="107">
        <v>1</v>
      </c>
      <c r="F336" s="138">
        <v>7.5</v>
      </c>
      <c r="G336" s="137">
        <v>67.342950000000002</v>
      </c>
      <c r="H336" s="139" t="s">
        <v>1831</v>
      </c>
      <c r="I336" s="123" t="s">
        <v>1523</v>
      </c>
    </row>
    <row r="337" spans="1:9" ht="72.75" customHeight="1">
      <c r="A337" s="81"/>
      <c r="B337" s="123" t="s">
        <v>1832</v>
      </c>
      <c r="C337" s="81">
        <v>2024</v>
      </c>
      <c r="D337" s="81">
        <v>0.4</v>
      </c>
      <c r="E337" s="107">
        <v>1</v>
      </c>
      <c r="F337" s="138">
        <v>15</v>
      </c>
      <c r="G337" s="137">
        <v>70.945449999999994</v>
      </c>
      <c r="H337" s="139" t="s">
        <v>1711</v>
      </c>
      <c r="I337" s="123" t="s">
        <v>1499</v>
      </c>
    </row>
    <row r="338" spans="1:9" ht="72.75" customHeight="1">
      <c r="A338" s="81"/>
      <c r="B338" s="123" t="s">
        <v>1833</v>
      </c>
      <c r="C338" s="81">
        <v>2024</v>
      </c>
      <c r="D338" s="81">
        <v>0.4</v>
      </c>
      <c r="E338" s="107">
        <v>1</v>
      </c>
      <c r="F338" s="138">
        <v>14</v>
      </c>
      <c r="G338" s="137">
        <v>69.783240000000006</v>
      </c>
      <c r="H338" s="139" t="s">
        <v>1834</v>
      </c>
      <c r="I338" s="123" t="s">
        <v>1523</v>
      </c>
    </row>
    <row r="339" spans="1:9" ht="72.75" customHeight="1">
      <c r="A339" s="81"/>
      <c r="B339" s="123" t="s">
        <v>1835</v>
      </c>
      <c r="C339" s="81">
        <v>2024</v>
      </c>
      <c r="D339" s="81">
        <v>0.4</v>
      </c>
      <c r="E339" s="107">
        <v>1</v>
      </c>
      <c r="F339" s="138">
        <v>50</v>
      </c>
      <c r="G339" s="137">
        <v>202.77969000000002</v>
      </c>
      <c r="H339" s="139" t="s">
        <v>1836</v>
      </c>
      <c r="I339" s="123" t="s">
        <v>1307</v>
      </c>
    </row>
    <row r="340" spans="1:9" ht="72.75" customHeight="1">
      <c r="A340" s="81"/>
      <c r="B340" s="123" t="s">
        <v>1837</v>
      </c>
      <c r="C340" s="81">
        <v>2024</v>
      </c>
      <c r="D340" s="81">
        <v>0.4</v>
      </c>
      <c r="E340" s="107">
        <v>1</v>
      </c>
      <c r="F340" s="138">
        <v>10</v>
      </c>
      <c r="G340" s="137">
        <v>74.828479999999999</v>
      </c>
      <c r="H340" s="139" t="s">
        <v>1838</v>
      </c>
      <c r="I340" s="123" t="s">
        <v>1311</v>
      </c>
    </row>
    <row r="341" spans="1:9" ht="72.75" customHeight="1">
      <c r="A341" s="81"/>
      <c r="B341" s="123" t="s">
        <v>1839</v>
      </c>
      <c r="C341" s="81">
        <v>2024</v>
      </c>
      <c r="D341" s="81">
        <v>0.4</v>
      </c>
      <c r="E341" s="107">
        <v>1</v>
      </c>
      <c r="F341" s="138">
        <v>15</v>
      </c>
      <c r="G341" s="137">
        <v>72.335179999999994</v>
      </c>
      <c r="H341" s="139" t="s">
        <v>1840</v>
      </c>
      <c r="I341" s="123" t="s">
        <v>1841</v>
      </c>
    </row>
    <row r="342" spans="1:9" ht="72.75" customHeight="1">
      <c r="A342" s="81"/>
      <c r="B342" s="123" t="s">
        <v>1842</v>
      </c>
      <c r="C342" s="81">
        <v>2024</v>
      </c>
      <c r="D342" s="81">
        <v>0.4</v>
      </c>
      <c r="E342" s="107">
        <v>1</v>
      </c>
      <c r="F342" s="138">
        <v>15</v>
      </c>
      <c r="G342" s="137">
        <v>62.200629999999997</v>
      </c>
      <c r="H342" s="139" t="s">
        <v>1843</v>
      </c>
      <c r="I342" s="123" t="s">
        <v>1523</v>
      </c>
    </row>
    <row r="343" spans="1:9" ht="72.75" customHeight="1">
      <c r="A343" s="81"/>
      <c r="B343" s="123" t="s">
        <v>1844</v>
      </c>
      <c r="C343" s="81">
        <v>2024</v>
      </c>
      <c r="D343" s="81">
        <v>0.4</v>
      </c>
      <c r="E343" s="107">
        <v>1</v>
      </c>
      <c r="F343" s="138">
        <v>15</v>
      </c>
      <c r="G343" s="137">
        <v>84.55407000000001</v>
      </c>
      <c r="H343" s="139" t="s">
        <v>1845</v>
      </c>
      <c r="I343" s="123" t="s">
        <v>1846</v>
      </c>
    </row>
    <row r="344" spans="1:9" ht="72.75" customHeight="1">
      <c r="A344" s="81"/>
      <c r="B344" s="123" t="s">
        <v>1847</v>
      </c>
      <c r="C344" s="81">
        <v>2024</v>
      </c>
      <c r="D344" s="81">
        <v>0.4</v>
      </c>
      <c r="E344" s="107">
        <v>1</v>
      </c>
      <c r="F344" s="138">
        <v>15</v>
      </c>
      <c r="G344" s="137">
        <v>71.650310000000005</v>
      </c>
      <c r="H344" s="139" t="s">
        <v>1848</v>
      </c>
      <c r="I344" s="123" t="s">
        <v>1849</v>
      </c>
    </row>
    <row r="345" spans="1:9" ht="72.75" customHeight="1">
      <c r="A345" s="81"/>
      <c r="B345" s="123" t="s">
        <v>1850</v>
      </c>
      <c r="C345" s="81">
        <v>2024</v>
      </c>
      <c r="D345" s="81">
        <v>0.4</v>
      </c>
      <c r="E345" s="107">
        <v>1</v>
      </c>
      <c r="F345" s="138">
        <v>15</v>
      </c>
      <c r="G345" s="137">
        <v>71.530940000000001</v>
      </c>
      <c r="H345" s="139" t="s">
        <v>1851</v>
      </c>
      <c r="I345" s="123" t="s">
        <v>1405</v>
      </c>
    </row>
    <row r="346" spans="1:9" ht="72.75" customHeight="1">
      <c r="A346" s="81"/>
      <c r="B346" s="123" t="s">
        <v>1852</v>
      </c>
      <c r="C346" s="81">
        <v>2024</v>
      </c>
      <c r="D346" s="81">
        <v>0.4</v>
      </c>
      <c r="E346" s="107">
        <v>1</v>
      </c>
      <c r="F346" s="138">
        <v>15</v>
      </c>
      <c r="G346" s="137">
        <v>71.586130000000011</v>
      </c>
      <c r="H346" s="139" t="s">
        <v>1853</v>
      </c>
      <c r="I346" s="123" t="s">
        <v>1405</v>
      </c>
    </row>
    <row r="347" spans="1:9" ht="72.75" customHeight="1">
      <c r="A347" s="81"/>
      <c r="B347" s="123" t="s">
        <v>1854</v>
      </c>
      <c r="C347" s="81">
        <v>2024</v>
      </c>
      <c r="D347" s="81">
        <v>0.4</v>
      </c>
      <c r="E347" s="107">
        <v>1</v>
      </c>
      <c r="F347" s="138">
        <v>15</v>
      </c>
      <c r="G347" s="137">
        <v>71.530940000000001</v>
      </c>
      <c r="H347" s="139" t="s">
        <v>1855</v>
      </c>
      <c r="I347" s="123" t="s">
        <v>1405</v>
      </c>
    </row>
    <row r="348" spans="1:9" ht="72.75" customHeight="1">
      <c r="A348" s="81"/>
      <c r="B348" s="123" t="s">
        <v>1856</v>
      </c>
      <c r="C348" s="81">
        <v>2024</v>
      </c>
      <c r="D348" s="81">
        <v>0.4</v>
      </c>
      <c r="E348" s="107">
        <v>1</v>
      </c>
      <c r="F348" s="138">
        <v>15</v>
      </c>
      <c r="G348" s="137">
        <v>72.87939999999999</v>
      </c>
      <c r="H348" s="139" t="s">
        <v>1857</v>
      </c>
      <c r="I348" s="123" t="s">
        <v>1311</v>
      </c>
    </row>
    <row r="349" spans="1:9" ht="72.75" customHeight="1">
      <c r="A349" s="81"/>
      <c r="B349" s="123" t="s">
        <v>1858</v>
      </c>
      <c r="C349" s="81">
        <v>2024</v>
      </c>
      <c r="D349" s="81">
        <v>0.4</v>
      </c>
      <c r="E349" s="107">
        <v>1</v>
      </c>
      <c r="F349" s="138">
        <v>15</v>
      </c>
      <c r="G349" s="137">
        <v>71.530940000000001</v>
      </c>
      <c r="H349" s="139" t="s">
        <v>1859</v>
      </c>
      <c r="I349" s="123" t="s">
        <v>1405</v>
      </c>
    </row>
    <row r="350" spans="1:9" ht="72.75" customHeight="1">
      <c r="A350" s="81"/>
      <c r="B350" s="123" t="s">
        <v>1860</v>
      </c>
      <c r="C350" s="81">
        <v>2024</v>
      </c>
      <c r="D350" s="81">
        <v>0.4</v>
      </c>
      <c r="E350" s="107">
        <v>1</v>
      </c>
      <c r="F350" s="138">
        <v>15</v>
      </c>
      <c r="G350" s="137">
        <v>64.548220000000001</v>
      </c>
      <c r="H350" s="139" t="s">
        <v>1861</v>
      </c>
      <c r="I350" s="123" t="s">
        <v>1405</v>
      </c>
    </row>
    <row r="351" spans="1:9" ht="72.75" customHeight="1">
      <c r="A351" s="81"/>
      <c r="B351" s="123" t="s">
        <v>1862</v>
      </c>
      <c r="C351" s="81">
        <v>2024</v>
      </c>
      <c r="D351" s="81">
        <v>0.4</v>
      </c>
      <c r="E351" s="107">
        <v>1</v>
      </c>
      <c r="F351" s="138">
        <v>11.5</v>
      </c>
      <c r="G351" s="137">
        <v>71.375820000000004</v>
      </c>
      <c r="H351" s="139" t="s">
        <v>1863</v>
      </c>
      <c r="I351" s="123" t="s">
        <v>1311</v>
      </c>
    </row>
    <row r="352" spans="1:9" ht="72.75" customHeight="1">
      <c r="A352" s="81"/>
      <c r="B352" s="123" t="s">
        <v>1864</v>
      </c>
      <c r="C352" s="81">
        <v>2024</v>
      </c>
      <c r="D352" s="81">
        <v>0.4</v>
      </c>
      <c r="E352" s="107">
        <v>1</v>
      </c>
      <c r="F352" s="138">
        <v>15</v>
      </c>
      <c r="G352" s="137">
        <v>70.583820000000003</v>
      </c>
      <c r="H352" s="139" t="s">
        <v>1865</v>
      </c>
      <c r="I352" s="123" t="s">
        <v>1349</v>
      </c>
    </row>
    <row r="353" spans="1:9" ht="72.75" customHeight="1">
      <c r="A353" s="81"/>
      <c r="B353" s="123" t="s">
        <v>1866</v>
      </c>
      <c r="C353" s="81">
        <v>2024</v>
      </c>
      <c r="D353" s="81">
        <v>0.4</v>
      </c>
      <c r="E353" s="107">
        <v>1</v>
      </c>
      <c r="F353" s="138">
        <v>15</v>
      </c>
      <c r="G353" s="137">
        <v>70.583820000000003</v>
      </c>
      <c r="H353" s="139" t="s">
        <v>1867</v>
      </c>
      <c r="I353" s="123" t="s">
        <v>1349</v>
      </c>
    </row>
    <row r="354" spans="1:9" ht="72.75" customHeight="1">
      <c r="A354" s="81"/>
      <c r="B354" s="123" t="s">
        <v>1868</v>
      </c>
      <c r="C354" s="81">
        <v>2024</v>
      </c>
      <c r="D354" s="81">
        <v>0.4</v>
      </c>
      <c r="E354" s="107">
        <v>1</v>
      </c>
      <c r="F354" s="138">
        <v>15</v>
      </c>
      <c r="G354" s="137">
        <v>75.510550000000009</v>
      </c>
      <c r="H354" s="139" t="s">
        <v>1869</v>
      </c>
      <c r="I354" s="123" t="s">
        <v>1870</v>
      </c>
    </row>
    <row r="355" spans="1:9" ht="72.75" customHeight="1">
      <c r="A355" s="81"/>
      <c r="B355" s="123" t="s">
        <v>1871</v>
      </c>
      <c r="C355" s="81">
        <v>2024</v>
      </c>
      <c r="D355" s="81">
        <v>0.4</v>
      </c>
      <c r="E355" s="107">
        <v>1</v>
      </c>
      <c r="F355" s="138">
        <v>15</v>
      </c>
      <c r="G355" s="137">
        <v>139.27110000000002</v>
      </c>
      <c r="H355" s="139" t="s">
        <v>1872</v>
      </c>
      <c r="I355" s="123" t="s">
        <v>1873</v>
      </c>
    </row>
    <row r="356" spans="1:9" ht="72.75" customHeight="1">
      <c r="A356" s="81"/>
      <c r="B356" s="123" t="s">
        <v>1874</v>
      </c>
      <c r="C356" s="81">
        <v>2024</v>
      </c>
      <c r="D356" s="81">
        <v>0.4</v>
      </c>
      <c r="E356" s="107">
        <v>1</v>
      </c>
      <c r="F356" s="138">
        <v>15</v>
      </c>
      <c r="G356" s="137">
        <v>71.269050000000007</v>
      </c>
      <c r="H356" s="139" t="s">
        <v>1875</v>
      </c>
      <c r="I356" s="123" t="s">
        <v>1336</v>
      </c>
    </row>
    <row r="357" spans="1:9" ht="72.75" customHeight="1">
      <c r="A357" s="81"/>
      <c r="B357" s="123" t="s">
        <v>1876</v>
      </c>
      <c r="C357" s="81">
        <v>2024</v>
      </c>
      <c r="D357" s="81">
        <v>0.4</v>
      </c>
      <c r="E357" s="107">
        <v>1</v>
      </c>
      <c r="F357" s="138">
        <v>15</v>
      </c>
      <c r="G357" s="137">
        <v>70.779240000000001</v>
      </c>
      <c r="H357" s="139" t="s">
        <v>1877</v>
      </c>
      <c r="I357" s="123" t="s">
        <v>1487</v>
      </c>
    </row>
    <row r="358" spans="1:9" ht="72.75" customHeight="1">
      <c r="A358" s="81"/>
      <c r="B358" s="123" t="s">
        <v>1878</v>
      </c>
      <c r="C358" s="81">
        <v>2024</v>
      </c>
      <c r="D358" s="81">
        <v>0.4</v>
      </c>
      <c r="E358" s="107">
        <v>1</v>
      </c>
      <c r="F358" s="138">
        <v>15</v>
      </c>
      <c r="G358" s="137">
        <v>73.254449999999991</v>
      </c>
      <c r="H358" s="139" t="s">
        <v>1879</v>
      </c>
      <c r="I358" s="123" t="s">
        <v>1487</v>
      </c>
    </row>
    <row r="359" spans="1:9" ht="72.75" customHeight="1">
      <c r="A359" s="81"/>
      <c r="B359" s="123" t="s">
        <v>1880</v>
      </c>
      <c r="C359" s="81">
        <v>2024</v>
      </c>
      <c r="D359" s="81">
        <v>0.4</v>
      </c>
      <c r="E359" s="107">
        <v>1</v>
      </c>
      <c r="F359" s="138">
        <v>15</v>
      </c>
      <c r="G359" s="137">
        <v>73.254449999999991</v>
      </c>
      <c r="H359" s="139" t="s">
        <v>1881</v>
      </c>
      <c r="I359" s="123" t="s">
        <v>1487</v>
      </c>
    </row>
    <row r="360" spans="1:9" ht="72.75" customHeight="1">
      <c r="A360" s="81"/>
      <c r="B360" s="123" t="s">
        <v>1882</v>
      </c>
      <c r="C360" s="81">
        <v>2024</v>
      </c>
      <c r="D360" s="81">
        <v>0.4</v>
      </c>
      <c r="E360" s="107">
        <v>1</v>
      </c>
      <c r="F360" s="138">
        <v>15</v>
      </c>
      <c r="G360" s="137">
        <v>70.779229999999998</v>
      </c>
      <c r="H360" s="139" t="s">
        <v>1883</v>
      </c>
      <c r="I360" s="123" t="s">
        <v>1490</v>
      </c>
    </row>
    <row r="361" spans="1:9" ht="72.75" customHeight="1">
      <c r="A361" s="81"/>
      <c r="B361" s="123" t="s">
        <v>1884</v>
      </c>
      <c r="C361" s="81">
        <v>2024</v>
      </c>
      <c r="D361" s="81">
        <v>0.4</v>
      </c>
      <c r="E361" s="107">
        <v>1</v>
      </c>
      <c r="F361" s="138">
        <v>15</v>
      </c>
      <c r="G361" s="137">
        <v>1.1467799999999999</v>
      </c>
      <c r="H361" s="139" t="s">
        <v>1885</v>
      </c>
      <c r="I361" s="123" t="s">
        <v>1490</v>
      </c>
    </row>
    <row r="362" spans="1:9" ht="72.75" customHeight="1">
      <c r="A362" s="81"/>
      <c r="B362" s="123" t="s">
        <v>1886</v>
      </c>
      <c r="C362" s="81">
        <v>2024</v>
      </c>
      <c r="D362" s="81">
        <v>0.4</v>
      </c>
      <c r="E362" s="107">
        <v>1</v>
      </c>
      <c r="F362" s="138">
        <v>15</v>
      </c>
      <c r="G362" s="137">
        <v>69.457619999999991</v>
      </c>
      <c r="H362" s="139" t="s">
        <v>1887</v>
      </c>
      <c r="I362" s="123" t="s">
        <v>1383</v>
      </c>
    </row>
    <row r="363" spans="1:9" ht="72.75" customHeight="1">
      <c r="A363" s="81"/>
      <c r="B363" s="123" t="s">
        <v>1888</v>
      </c>
      <c r="C363" s="81">
        <v>2024</v>
      </c>
      <c r="D363" s="81">
        <v>0.4</v>
      </c>
      <c r="E363" s="107">
        <v>1</v>
      </c>
      <c r="F363" s="138">
        <v>10</v>
      </c>
      <c r="G363" s="137">
        <v>77.245530000000002</v>
      </c>
      <c r="H363" s="139" t="s">
        <v>1889</v>
      </c>
      <c r="I363" s="123" t="s">
        <v>1890</v>
      </c>
    </row>
    <row r="364" spans="1:9" ht="72.75" customHeight="1">
      <c r="A364" s="81"/>
      <c r="B364" s="123" t="s">
        <v>1891</v>
      </c>
      <c r="C364" s="81">
        <v>2024</v>
      </c>
      <c r="D364" s="81">
        <v>0.4</v>
      </c>
      <c r="E364" s="107">
        <v>1</v>
      </c>
      <c r="F364" s="138">
        <v>10</v>
      </c>
      <c r="G364" s="137">
        <v>65.324660000000009</v>
      </c>
      <c r="H364" s="139" t="s">
        <v>1892</v>
      </c>
      <c r="I364" s="123" t="s">
        <v>1523</v>
      </c>
    </row>
    <row r="365" spans="1:9" ht="72.75" customHeight="1">
      <c r="A365" s="81"/>
      <c r="B365" s="123" t="s">
        <v>1893</v>
      </c>
      <c r="C365" s="81">
        <v>2024</v>
      </c>
      <c r="D365" s="81">
        <v>0.4</v>
      </c>
      <c r="E365" s="107">
        <v>1</v>
      </c>
      <c r="F365" s="138">
        <v>6</v>
      </c>
      <c r="G365" s="137">
        <v>59.07114</v>
      </c>
      <c r="H365" s="139" t="s">
        <v>1894</v>
      </c>
      <c r="I365" s="123" t="s">
        <v>1895</v>
      </c>
    </row>
    <row r="366" spans="1:9" ht="72.75" customHeight="1">
      <c r="A366" s="81"/>
      <c r="B366" s="123" t="s">
        <v>1896</v>
      </c>
      <c r="C366" s="81">
        <v>2024</v>
      </c>
      <c r="D366" s="81">
        <v>0.4</v>
      </c>
      <c r="E366" s="107">
        <v>1</v>
      </c>
      <c r="F366" s="138">
        <v>15</v>
      </c>
      <c r="G366" s="137">
        <v>57.639789999999998</v>
      </c>
      <c r="H366" s="139" t="s">
        <v>1897</v>
      </c>
      <c r="I366" s="123" t="s">
        <v>1895</v>
      </c>
    </row>
    <row r="367" spans="1:9" ht="72.75" customHeight="1">
      <c r="A367" s="81"/>
      <c r="B367" s="123" t="s">
        <v>1898</v>
      </c>
      <c r="C367" s="81">
        <v>2024</v>
      </c>
      <c r="D367" s="81">
        <v>0.4</v>
      </c>
      <c r="E367" s="107">
        <v>1</v>
      </c>
      <c r="F367" s="138">
        <v>15</v>
      </c>
      <c r="G367" s="137">
        <v>71.749719999999996</v>
      </c>
      <c r="H367" s="139" t="s">
        <v>1899</v>
      </c>
      <c r="I367" s="123" t="s">
        <v>1313</v>
      </c>
    </row>
    <row r="368" spans="1:9" ht="72.75" customHeight="1">
      <c r="A368" s="81"/>
      <c r="B368" s="123" t="s">
        <v>1900</v>
      </c>
      <c r="C368" s="81">
        <v>2024</v>
      </c>
      <c r="D368" s="81">
        <v>0.4</v>
      </c>
      <c r="E368" s="107">
        <v>1</v>
      </c>
      <c r="F368" s="138">
        <v>20</v>
      </c>
      <c r="G368" s="137">
        <v>66.854699999999994</v>
      </c>
      <c r="H368" s="139" t="s">
        <v>1901</v>
      </c>
      <c r="I368" s="123" t="s">
        <v>1523</v>
      </c>
    </row>
    <row r="369" spans="1:9" ht="72.75" customHeight="1">
      <c r="A369" s="81"/>
      <c r="B369" s="123" t="s">
        <v>1902</v>
      </c>
      <c r="C369" s="81">
        <v>2024</v>
      </c>
      <c r="D369" s="81">
        <v>0.4</v>
      </c>
      <c r="E369" s="107">
        <v>1</v>
      </c>
      <c r="F369" s="138">
        <v>25</v>
      </c>
      <c r="G369" s="137">
        <v>71.596820000000008</v>
      </c>
      <c r="H369" s="139" t="s">
        <v>1903</v>
      </c>
      <c r="I369" s="123" t="s">
        <v>1316</v>
      </c>
    </row>
    <row r="370" spans="1:9" ht="72.75" customHeight="1">
      <c r="A370" s="81"/>
      <c r="B370" s="123" t="s">
        <v>1904</v>
      </c>
      <c r="C370" s="81">
        <v>2024</v>
      </c>
      <c r="D370" s="81">
        <v>0.4</v>
      </c>
      <c r="E370" s="107">
        <v>1</v>
      </c>
      <c r="F370" s="138">
        <v>15</v>
      </c>
      <c r="G370" s="137">
        <v>68.206649999999996</v>
      </c>
      <c r="H370" s="139" t="s">
        <v>1905</v>
      </c>
      <c r="I370" s="123" t="s">
        <v>1318</v>
      </c>
    </row>
    <row r="371" spans="1:9" ht="72.75" customHeight="1">
      <c r="A371" s="81"/>
      <c r="B371" s="123" t="s">
        <v>1906</v>
      </c>
      <c r="C371" s="81">
        <v>2024</v>
      </c>
      <c r="D371" s="81">
        <v>0.4</v>
      </c>
      <c r="E371" s="107">
        <v>1</v>
      </c>
      <c r="F371" s="138">
        <v>15</v>
      </c>
      <c r="G371" s="137">
        <v>68.206649999999996</v>
      </c>
      <c r="H371" s="139" t="s">
        <v>1907</v>
      </c>
      <c r="I371" s="123" t="s">
        <v>1318</v>
      </c>
    </row>
    <row r="372" spans="1:9" ht="72.75" customHeight="1">
      <c r="A372" s="81"/>
      <c r="B372" s="123" t="s">
        <v>1908</v>
      </c>
      <c r="C372" s="81">
        <v>2024</v>
      </c>
      <c r="D372" s="81">
        <v>0.4</v>
      </c>
      <c r="E372" s="107">
        <v>1</v>
      </c>
      <c r="F372" s="138">
        <v>15</v>
      </c>
      <c r="G372" s="137">
        <v>68.206649999999996</v>
      </c>
      <c r="H372" s="139" t="s">
        <v>1909</v>
      </c>
      <c r="I372" s="123" t="s">
        <v>1318</v>
      </c>
    </row>
    <row r="373" spans="1:9" ht="72.75" customHeight="1">
      <c r="A373" s="81"/>
      <c r="B373" s="123" t="s">
        <v>1910</v>
      </c>
      <c r="C373" s="81">
        <v>2024</v>
      </c>
      <c r="D373" s="81">
        <v>0.4</v>
      </c>
      <c r="E373" s="107">
        <v>1</v>
      </c>
      <c r="F373" s="138">
        <v>15</v>
      </c>
      <c r="G373" s="137">
        <v>68.206649999999996</v>
      </c>
      <c r="H373" s="139" t="s">
        <v>1911</v>
      </c>
      <c r="I373" s="123" t="s">
        <v>1318</v>
      </c>
    </row>
    <row r="374" spans="1:9" ht="72.75" customHeight="1">
      <c r="A374" s="81"/>
      <c r="B374" s="123" t="s">
        <v>1912</v>
      </c>
      <c r="C374" s="81">
        <v>2024</v>
      </c>
      <c r="D374" s="81">
        <v>0.4</v>
      </c>
      <c r="E374" s="107">
        <v>1</v>
      </c>
      <c r="F374" s="138">
        <v>15</v>
      </c>
      <c r="G374" s="137">
        <v>72.913070000000005</v>
      </c>
      <c r="H374" s="139" t="s">
        <v>1913</v>
      </c>
      <c r="I374" s="123" t="s">
        <v>1349</v>
      </c>
    </row>
    <row r="375" spans="1:9" ht="72.75" customHeight="1">
      <c r="A375" s="81"/>
      <c r="B375" s="123" t="s">
        <v>1914</v>
      </c>
      <c r="C375" s="81">
        <v>2024</v>
      </c>
      <c r="D375" s="81">
        <v>0.4</v>
      </c>
      <c r="E375" s="107">
        <v>1</v>
      </c>
      <c r="F375" s="138">
        <v>15</v>
      </c>
      <c r="G375" s="137">
        <v>79.28394999999999</v>
      </c>
      <c r="H375" s="139" t="s">
        <v>1915</v>
      </c>
      <c r="I375" s="123" t="s">
        <v>1916</v>
      </c>
    </row>
    <row r="376" spans="1:9" ht="72.75" customHeight="1">
      <c r="A376" s="81"/>
      <c r="B376" s="123" t="s">
        <v>1917</v>
      </c>
      <c r="C376" s="81">
        <v>2024</v>
      </c>
      <c r="D376" s="81">
        <v>0.4</v>
      </c>
      <c r="E376" s="107">
        <v>1</v>
      </c>
      <c r="F376" s="138">
        <v>15</v>
      </c>
      <c r="G376" s="137">
        <v>60.350029999999997</v>
      </c>
      <c r="H376" s="139" t="s">
        <v>1918</v>
      </c>
      <c r="I376" s="123" t="s">
        <v>1321</v>
      </c>
    </row>
    <row r="377" spans="1:9" ht="72.75" customHeight="1">
      <c r="A377" s="81"/>
      <c r="B377" s="123" t="s">
        <v>1919</v>
      </c>
      <c r="C377" s="81">
        <v>2024</v>
      </c>
      <c r="D377" s="81">
        <v>0.4</v>
      </c>
      <c r="E377" s="107">
        <v>1</v>
      </c>
      <c r="F377" s="138">
        <v>15</v>
      </c>
      <c r="G377" s="137">
        <v>71.503050000000002</v>
      </c>
      <c r="H377" s="139" t="s">
        <v>1920</v>
      </c>
      <c r="I377" s="123" t="s">
        <v>1321</v>
      </c>
    </row>
    <row r="378" spans="1:9" ht="72.75" customHeight="1">
      <c r="A378" s="81"/>
      <c r="B378" s="123" t="s">
        <v>1921</v>
      </c>
      <c r="C378" s="81">
        <v>2024</v>
      </c>
      <c r="D378" s="81">
        <v>0.4</v>
      </c>
      <c r="E378" s="107">
        <v>1</v>
      </c>
      <c r="F378" s="138">
        <v>15</v>
      </c>
      <c r="G378" s="137">
        <v>75.510550000000009</v>
      </c>
      <c r="H378" s="139" t="s">
        <v>1922</v>
      </c>
      <c r="I378" s="123" t="s">
        <v>1362</v>
      </c>
    </row>
    <row r="379" spans="1:9" ht="72.75" customHeight="1">
      <c r="A379" s="81"/>
      <c r="B379" s="123" t="s">
        <v>1923</v>
      </c>
      <c r="C379" s="81">
        <v>2024</v>
      </c>
      <c r="D379" s="81">
        <v>0.4</v>
      </c>
      <c r="E379" s="107">
        <v>1</v>
      </c>
      <c r="F379" s="138">
        <v>15</v>
      </c>
      <c r="G379" s="137">
        <v>75.684979999999996</v>
      </c>
      <c r="H379" s="139" t="s">
        <v>1924</v>
      </c>
      <c r="I379" s="123" t="s">
        <v>1362</v>
      </c>
    </row>
    <row r="380" spans="1:9" ht="72.75" customHeight="1">
      <c r="A380" s="81"/>
      <c r="B380" s="123" t="s">
        <v>1925</v>
      </c>
      <c r="C380" s="81">
        <v>2024</v>
      </c>
      <c r="D380" s="81">
        <v>0.4</v>
      </c>
      <c r="E380" s="107">
        <v>1</v>
      </c>
      <c r="F380" s="138">
        <v>15</v>
      </c>
      <c r="G380" s="137">
        <v>75.510550000000009</v>
      </c>
      <c r="H380" s="139" t="s">
        <v>1926</v>
      </c>
      <c r="I380" s="123" t="s">
        <v>1870</v>
      </c>
    </row>
    <row r="381" spans="1:9" ht="72.75" customHeight="1">
      <c r="A381" s="81"/>
      <c r="B381" s="123" t="s">
        <v>1927</v>
      </c>
      <c r="C381" s="81">
        <v>2024</v>
      </c>
      <c r="D381" s="81">
        <v>0.4</v>
      </c>
      <c r="E381" s="107">
        <v>1</v>
      </c>
      <c r="F381" s="138">
        <v>15</v>
      </c>
      <c r="G381" s="137">
        <v>75.510550000000009</v>
      </c>
      <c r="H381" s="139" t="s">
        <v>1928</v>
      </c>
      <c r="I381" s="123" t="s">
        <v>1870</v>
      </c>
    </row>
    <row r="382" spans="1:9" ht="72.75" customHeight="1">
      <c r="A382" s="81"/>
      <c r="B382" s="123" t="s">
        <v>1929</v>
      </c>
      <c r="C382" s="81">
        <v>2024</v>
      </c>
      <c r="D382" s="81">
        <v>0.4</v>
      </c>
      <c r="E382" s="107">
        <v>1</v>
      </c>
      <c r="F382" s="138">
        <v>15</v>
      </c>
      <c r="G382" s="137">
        <v>75.510550000000009</v>
      </c>
      <c r="H382" s="139" t="s">
        <v>1930</v>
      </c>
      <c r="I382" s="123" t="s">
        <v>1870</v>
      </c>
    </row>
    <row r="383" spans="1:9" ht="72.75" customHeight="1">
      <c r="A383" s="81"/>
      <c r="B383" s="123" t="s">
        <v>1931</v>
      </c>
      <c r="C383" s="81">
        <v>2024</v>
      </c>
      <c r="D383" s="81">
        <v>0.4</v>
      </c>
      <c r="E383" s="107">
        <v>1</v>
      </c>
      <c r="F383" s="138">
        <v>15</v>
      </c>
      <c r="G383" s="137">
        <v>69.809730000000002</v>
      </c>
      <c r="H383" s="139" t="s">
        <v>1932</v>
      </c>
      <c r="I383" s="123" t="s">
        <v>1933</v>
      </c>
    </row>
    <row r="384" spans="1:9" ht="72.75" customHeight="1">
      <c r="A384" s="81"/>
      <c r="B384" s="123" t="s">
        <v>1934</v>
      </c>
      <c r="C384" s="81">
        <v>2024</v>
      </c>
      <c r="D384" s="81">
        <v>0.4</v>
      </c>
      <c r="E384" s="107">
        <v>1</v>
      </c>
      <c r="F384" s="138">
        <v>15</v>
      </c>
      <c r="G384" s="137">
        <v>75.684979999999996</v>
      </c>
      <c r="H384" s="139" t="s">
        <v>1935</v>
      </c>
      <c r="I384" s="123" t="s">
        <v>1538</v>
      </c>
    </row>
    <row r="385" spans="1:9" ht="72.75" customHeight="1">
      <c r="A385" s="81"/>
      <c r="B385" s="123" t="s">
        <v>1936</v>
      </c>
      <c r="C385" s="81">
        <v>2024</v>
      </c>
      <c r="D385" s="81">
        <v>0.4</v>
      </c>
      <c r="E385" s="107">
        <v>1</v>
      </c>
      <c r="F385" s="138">
        <v>20</v>
      </c>
      <c r="G385" s="137">
        <v>42.196529999999996</v>
      </c>
      <c r="H385" s="139" t="s">
        <v>1937</v>
      </c>
      <c r="I385" s="123" t="s">
        <v>1541</v>
      </c>
    </row>
    <row r="386" spans="1:9" ht="72.75" customHeight="1">
      <c r="A386" s="81"/>
      <c r="B386" s="123" t="s">
        <v>1938</v>
      </c>
      <c r="C386" s="81">
        <v>2024</v>
      </c>
      <c r="D386" s="81">
        <v>0.4</v>
      </c>
      <c r="E386" s="107">
        <v>1</v>
      </c>
      <c r="F386" s="138">
        <v>15</v>
      </c>
      <c r="G386" s="137">
        <v>68.960390000000004</v>
      </c>
      <c r="H386" s="139" t="s">
        <v>1939</v>
      </c>
      <c r="I386" s="123" t="s">
        <v>1940</v>
      </c>
    </row>
    <row r="387" spans="1:9" ht="72.75" customHeight="1">
      <c r="A387" s="81"/>
      <c r="B387" s="123" t="s">
        <v>1941</v>
      </c>
      <c r="C387" s="81">
        <v>2024</v>
      </c>
      <c r="D387" s="81">
        <v>0.4</v>
      </c>
      <c r="E387" s="107">
        <v>1</v>
      </c>
      <c r="F387" s="138">
        <v>5</v>
      </c>
      <c r="G387" s="137">
        <v>36.200029999999998</v>
      </c>
      <c r="H387" s="139" t="s">
        <v>1942</v>
      </c>
      <c r="I387" s="123" t="s">
        <v>1943</v>
      </c>
    </row>
    <row r="388" spans="1:9" ht="72.75" customHeight="1">
      <c r="A388" s="81"/>
      <c r="B388" s="123" t="s">
        <v>1944</v>
      </c>
      <c r="C388" s="81">
        <v>2024</v>
      </c>
      <c r="D388" s="81">
        <v>0.4</v>
      </c>
      <c r="E388" s="107">
        <v>1</v>
      </c>
      <c r="F388" s="138">
        <v>15</v>
      </c>
      <c r="G388" s="137">
        <v>52.142379999999996</v>
      </c>
      <c r="H388" s="139" t="s">
        <v>1945</v>
      </c>
      <c r="I388" s="123" t="s">
        <v>1946</v>
      </c>
    </row>
    <row r="389" spans="1:9" ht="72.75" customHeight="1">
      <c r="A389" s="81"/>
      <c r="B389" s="123" t="s">
        <v>1947</v>
      </c>
      <c r="C389" s="81">
        <v>2024</v>
      </c>
      <c r="D389" s="81">
        <v>0.4</v>
      </c>
      <c r="E389" s="107">
        <v>1</v>
      </c>
      <c r="F389" s="138">
        <v>15</v>
      </c>
      <c r="G389" s="137">
        <v>70.838239999999999</v>
      </c>
      <c r="H389" s="139" t="s">
        <v>1920</v>
      </c>
      <c r="I389" s="123" t="s">
        <v>1321</v>
      </c>
    </row>
    <row r="390" spans="1:9" ht="72.75" customHeight="1">
      <c r="A390" s="81"/>
      <c r="B390" s="123" t="s">
        <v>1948</v>
      </c>
      <c r="C390" s="81">
        <v>2024</v>
      </c>
      <c r="D390" s="81">
        <v>0.4</v>
      </c>
      <c r="E390" s="107">
        <v>1</v>
      </c>
      <c r="F390" s="138">
        <v>15</v>
      </c>
      <c r="G390" s="137">
        <v>73.921800000000005</v>
      </c>
      <c r="H390" s="139" t="s">
        <v>1949</v>
      </c>
      <c r="I390" s="123" t="s">
        <v>1324</v>
      </c>
    </row>
    <row r="391" spans="1:9" ht="72.75" customHeight="1">
      <c r="A391" s="81"/>
      <c r="B391" s="123" t="s">
        <v>1950</v>
      </c>
      <c r="C391" s="81">
        <v>2024</v>
      </c>
      <c r="D391" s="81">
        <v>0.4</v>
      </c>
      <c r="E391" s="107">
        <v>1</v>
      </c>
      <c r="F391" s="138">
        <v>15</v>
      </c>
      <c r="G391" s="137">
        <v>73.921660000000003</v>
      </c>
      <c r="H391" s="139" t="s">
        <v>1951</v>
      </c>
      <c r="I391" s="123" t="s">
        <v>1324</v>
      </c>
    </row>
    <row r="392" spans="1:9" ht="72.75" customHeight="1">
      <c r="A392" s="81"/>
      <c r="B392" s="123" t="s">
        <v>1952</v>
      </c>
      <c r="C392" s="81">
        <v>2024</v>
      </c>
      <c r="D392" s="81">
        <v>0.4</v>
      </c>
      <c r="E392" s="107">
        <v>1</v>
      </c>
      <c r="F392" s="138">
        <v>15</v>
      </c>
      <c r="G392" s="137">
        <v>73.921660000000003</v>
      </c>
      <c r="H392" s="139" t="s">
        <v>1953</v>
      </c>
      <c r="I392" s="123" t="s">
        <v>1324</v>
      </c>
    </row>
    <row r="393" spans="1:9" ht="72.75" customHeight="1">
      <c r="A393" s="81"/>
      <c r="B393" s="123" t="s">
        <v>1954</v>
      </c>
      <c r="C393" s="81">
        <v>2024</v>
      </c>
      <c r="D393" s="81">
        <v>0.4</v>
      </c>
      <c r="E393" s="107">
        <v>1</v>
      </c>
      <c r="F393" s="138">
        <v>15</v>
      </c>
      <c r="G393" s="137">
        <v>73.921660000000003</v>
      </c>
      <c r="H393" s="139" t="s">
        <v>1955</v>
      </c>
      <c r="I393" s="123" t="s">
        <v>1324</v>
      </c>
    </row>
    <row r="394" spans="1:9" ht="72.75" customHeight="1">
      <c r="A394" s="81"/>
      <c r="B394" s="123" t="s">
        <v>1956</v>
      </c>
      <c r="C394" s="81">
        <v>2024</v>
      </c>
      <c r="D394" s="81">
        <v>0.4</v>
      </c>
      <c r="E394" s="107">
        <v>1</v>
      </c>
      <c r="F394" s="138">
        <v>15</v>
      </c>
      <c r="G394" s="137">
        <v>73.171499999999995</v>
      </c>
      <c r="H394" s="139" t="s">
        <v>1957</v>
      </c>
      <c r="I394" s="123" t="s">
        <v>1349</v>
      </c>
    </row>
    <row r="395" spans="1:9" ht="72.75" customHeight="1">
      <c r="A395" s="81"/>
      <c r="B395" s="123" t="s">
        <v>1958</v>
      </c>
      <c r="C395" s="81">
        <v>2024</v>
      </c>
      <c r="D395" s="81">
        <v>0.4</v>
      </c>
      <c r="E395" s="107">
        <v>1</v>
      </c>
      <c r="F395" s="138">
        <v>15</v>
      </c>
      <c r="G395" s="137">
        <v>73.171499999999995</v>
      </c>
      <c r="H395" s="139" t="s">
        <v>1959</v>
      </c>
      <c r="I395" s="123" t="s">
        <v>1349</v>
      </c>
    </row>
    <row r="396" spans="1:9" ht="72.75" customHeight="1">
      <c r="A396" s="81"/>
      <c r="B396" s="123" t="s">
        <v>1960</v>
      </c>
      <c r="C396" s="81">
        <v>2024</v>
      </c>
      <c r="D396" s="81">
        <v>0.4</v>
      </c>
      <c r="E396" s="107">
        <v>1</v>
      </c>
      <c r="F396" s="138">
        <v>15</v>
      </c>
      <c r="G396" s="137">
        <v>73.171499999999995</v>
      </c>
      <c r="H396" s="139" t="s">
        <v>1961</v>
      </c>
      <c r="I396" s="123" t="s">
        <v>1349</v>
      </c>
    </row>
    <row r="397" spans="1:9" ht="72.75" customHeight="1">
      <c r="A397" s="81"/>
      <c r="B397" s="123" t="s">
        <v>1962</v>
      </c>
      <c r="C397" s="81">
        <v>2024</v>
      </c>
      <c r="D397" s="81">
        <v>0.4</v>
      </c>
      <c r="E397" s="107">
        <v>1</v>
      </c>
      <c r="F397" s="138">
        <v>15</v>
      </c>
      <c r="G397" s="137">
        <v>73.171499999999995</v>
      </c>
      <c r="H397" s="139" t="s">
        <v>1963</v>
      </c>
      <c r="I397" s="123" t="s">
        <v>1349</v>
      </c>
    </row>
    <row r="398" spans="1:9" ht="72.75" customHeight="1">
      <c r="A398" s="81"/>
      <c r="B398" s="123" t="s">
        <v>1964</v>
      </c>
      <c r="C398" s="81">
        <v>2024</v>
      </c>
      <c r="D398" s="81">
        <v>0.4</v>
      </c>
      <c r="E398" s="107">
        <v>1</v>
      </c>
      <c r="F398" s="138">
        <v>15</v>
      </c>
      <c r="G398" s="137">
        <v>73.171499999999995</v>
      </c>
      <c r="H398" s="139" t="s">
        <v>1965</v>
      </c>
      <c r="I398" s="123" t="s">
        <v>1349</v>
      </c>
    </row>
    <row r="399" spans="1:9" ht="72.75" customHeight="1">
      <c r="A399" s="81"/>
      <c r="B399" s="123" t="s">
        <v>1966</v>
      </c>
      <c r="C399" s="81">
        <v>2024</v>
      </c>
      <c r="D399" s="81">
        <v>0.4</v>
      </c>
      <c r="E399" s="107">
        <v>1</v>
      </c>
      <c r="F399" s="138">
        <v>15</v>
      </c>
      <c r="G399" s="137">
        <v>82.398169999999993</v>
      </c>
      <c r="H399" s="139" t="s">
        <v>1967</v>
      </c>
      <c r="I399" s="123" t="s">
        <v>1327</v>
      </c>
    </row>
    <row r="400" spans="1:9" ht="72.75" customHeight="1">
      <c r="A400" s="81"/>
      <c r="B400" s="123" t="s">
        <v>1968</v>
      </c>
      <c r="C400" s="81">
        <v>2024</v>
      </c>
      <c r="D400" s="81">
        <v>0.4</v>
      </c>
      <c r="E400" s="107">
        <v>1</v>
      </c>
      <c r="F400" s="138">
        <v>15</v>
      </c>
      <c r="G400" s="137">
        <v>82.398169999999993</v>
      </c>
      <c r="H400" s="139" t="s">
        <v>1969</v>
      </c>
      <c r="I400" s="123" t="s">
        <v>1327</v>
      </c>
    </row>
    <row r="401" spans="1:9" ht="72.75" customHeight="1">
      <c r="A401" s="81"/>
      <c r="B401" s="123" t="s">
        <v>1970</v>
      </c>
      <c r="C401" s="81">
        <v>2024</v>
      </c>
      <c r="D401" s="81">
        <v>0.4</v>
      </c>
      <c r="E401" s="107">
        <v>1</v>
      </c>
      <c r="F401" s="138">
        <v>15</v>
      </c>
      <c r="G401" s="137">
        <v>82.398169999999993</v>
      </c>
      <c r="H401" s="139" t="s">
        <v>1971</v>
      </c>
      <c r="I401" s="123" t="s">
        <v>1327</v>
      </c>
    </row>
    <row r="402" spans="1:9" ht="72.75" customHeight="1">
      <c r="A402" s="81"/>
      <c r="B402" s="123" t="s">
        <v>1972</v>
      </c>
      <c r="C402" s="81">
        <v>2024</v>
      </c>
      <c r="D402" s="81">
        <v>0.4</v>
      </c>
      <c r="E402" s="107">
        <v>1</v>
      </c>
      <c r="F402" s="138">
        <v>15</v>
      </c>
      <c r="G402" s="137">
        <v>82.398169999999993</v>
      </c>
      <c r="H402" s="139" t="s">
        <v>1973</v>
      </c>
      <c r="I402" s="123" t="s">
        <v>1327</v>
      </c>
    </row>
    <row r="403" spans="1:9" ht="72.75" customHeight="1">
      <c r="A403" s="81"/>
      <c r="B403" s="123" t="s">
        <v>1974</v>
      </c>
      <c r="C403" s="81">
        <v>2024</v>
      </c>
      <c r="D403" s="81">
        <v>0.4</v>
      </c>
      <c r="E403" s="107">
        <v>1</v>
      </c>
      <c r="F403" s="138">
        <v>15</v>
      </c>
      <c r="G403" s="137">
        <v>82.398169999999993</v>
      </c>
      <c r="H403" s="139" t="s">
        <v>1975</v>
      </c>
      <c r="I403" s="123" t="s">
        <v>1327</v>
      </c>
    </row>
    <row r="404" spans="1:9" ht="72.75" customHeight="1">
      <c r="A404" s="81"/>
      <c r="B404" s="123" t="s">
        <v>1976</v>
      </c>
      <c r="C404" s="81">
        <v>2024</v>
      </c>
      <c r="D404" s="81">
        <v>0.4</v>
      </c>
      <c r="E404" s="107">
        <v>1</v>
      </c>
      <c r="F404" s="138">
        <v>15</v>
      </c>
      <c r="G404" s="137">
        <v>82.398169999999993</v>
      </c>
      <c r="H404" s="139" t="s">
        <v>1977</v>
      </c>
      <c r="I404" s="123" t="s">
        <v>1327</v>
      </c>
    </row>
    <row r="405" spans="1:9" ht="72.75" customHeight="1">
      <c r="A405" s="81"/>
      <c r="B405" s="123" t="s">
        <v>1978</v>
      </c>
      <c r="C405" s="81">
        <v>2024</v>
      </c>
      <c r="D405" s="81">
        <v>0.4</v>
      </c>
      <c r="E405" s="107">
        <v>1</v>
      </c>
      <c r="F405" s="138">
        <v>15</v>
      </c>
      <c r="G405" s="137">
        <v>82.398169999999993</v>
      </c>
      <c r="H405" s="139" t="s">
        <v>1979</v>
      </c>
      <c r="I405" s="123" t="s">
        <v>1327</v>
      </c>
    </row>
    <row r="406" spans="1:9" ht="72.75" customHeight="1">
      <c r="A406" s="81"/>
      <c r="B406" s="123" t="s">
        <v>1980</v>
      </c>
      <c r="C406" s="81">
        <v>2024</v>
      </c>
      <c r="D406" s="81">
        <v>0.4</v>
      </c>
      <c r="E406" s="107">
        <v>1</v>
      </c>
      <c r="F406" s="138">
        <v>6</v>
      </c>
      <c r="G406" s="137">
        <v>82.398169999999993</v>
      </c>
      <c r="H406" s="139" t="s">
        <v>1981</v>
      </c>
      <c r="I406" s="123" t="s">
        <v>1327</v>
      </c>
    </row>
    <row r="407" spans="1:9" ht="72.75" customHeight="1">
      <c r="A407" s="81"/>
      <c r="B407" s="123" t="s">
        <v>1982</v>
      </c>
      <c r="C407" s="81">
        <v>2024</v>
      </c>
      <c r="D407" s="81">
        <v>0.4</v>
      </c>
      <c r="E407" s="107">
        <v>1</v>
      </c>
      <c r="F407" s="138">
        <v>5</v>
      </c>
      <c r="G407" s="137">
        <v>82.398169999999993</v>
      </c>
      <c r="H407" s="139" t="s">
        <v>1983</v>
      </c>
      <c r="I407" s="123" t="s">
        <v>1327</v>
      </c>
    </row>
    <row r="408" spans="1:9" ht="72.75" customHeight="1">
      <c r="A408" s="81"/>
      <c r="B408" s="123" t="s">
        <v>1984</v>
      </c>
      <c r="C408" s="81">
        <v>2024</v>
      </c>
      <c r="D408" s="81">
        <v>0.4</v>
      </c>
      <c r="E408" s="107">
        <v>1</v>
      </c>
      <c r="F408" s="138">
        <v>15</v>
      </c>
      <c r="G408" s="137">
        <v>82.398169999999993</v>
      </c>
      <c r="H408" s="139" t="s">
        <v>1985</v>
      </c>
      <c r="I408" s="123" t="s">
        <v>1327</v>
      </c>
    </row>
    <row r="409" spans="1:9" ht="72.75" customHeight="1">
      <c r="A409" s="81"/>
      <c r="B409" s="123" t="s">
        <v>1986</v>
      </c>
      <c r="C409" s="81">
        <v>2024</v>
      </c>
      <c r="D409" s="81">
        <v>0.4</v>
      </c>
      <c r="E409" s="107">
        <v>1</v>
      </c>
      <c r="F409" s="138">
        <v>15</v>
      </c>
      <c r="G409" s="137">
        <v>82.398169999999993</v>
      </c>
      <c r="H409" s="139" t="s">
        <v>1987</v>
      </c>
      <c r="I409" s="123" t="s">
        <v>1327</v>
      </c>
    </row>
    <row r="410" spans="1:9" ht="72.75" customHeight="1">
      <c r="A410" s="81"/>
      <c r="B410" s="123" t="s">
        <v>1988</v>
      </c>
      <c r="C410" s="81">
        <v>2024</v>
      </c>
      <c r="D410" s="81">
        <v>0.4</v>
      </c>
      <c r="E410" s="107">
        <v>1</v>
      </c>
      <c r="F410" s="138">
        <v>15</v>
      </c>
      <c r="G410" s="137">
        <v>82.398169999999993</v>
      </c>
      <c r="H410" s="139" t="s">
        <v>1989</v>
      </c>
      <c r="I410" s="123" t="s">
        <v>1327</v>
      </c>
    </row>
    <row r="411" spans="1:9" ht="72.75" customHeight="1">
      <c r="A411" s="81"/>
      <c r="B411" s="123" t="s">
        <v>1990</v>
      </c>
      <c r="C411" s="81">
        <v>2024</v>
      </c>
      <c r="D411" s="81">
        <v>0.4</v>
      </c>
      <c r="E411" s="107">
        <v>1</v>
      </c>
      <c r="F411" s="138">
        <v>15</v>
      </c>
      <c r="G411" s="137">
        <v>82.398169999999993</v>
      </c>
      <c r="H411" s="139" t="s">
        <v>1991</v>
      </c>
      <c r="I411" s="123" t="s">
        <v>1327</v>
      </c>
    </row>
    <row r="412" spans="1:9" ht="72.75" customHeight="1">
      <c r="A412" s="81"/>
      <c r="B412" s="123" t="s">
        <v>1992</v>
      </c>
      <c r="C412" s="81">
        <v>2024</v>
      </c>
      <c r="D412" s="81">
        <v>0.4</v>
      </c>
      <c r="E412" s="107">
        <v>1</v>
      </c>
      <c r="F412" s="138">
        <v>15</v>
      </c>
      <c r="G412" s="137">
        <v>82.398169999999993</v>
      </c>
      <c r="H412" s="139" t="s">
        <v>1993</v>
      </c>
      <c r="I412" s="123" t="s">
        <v>1327</v>
      </c>
    </row>
    <row r="413" spans="1:9" ht="72.75" customHeight="1">
      <c r="A413" s="81"/>
      <c r="B413" s="123" t="s">
        <v>1994</v>
      </c>
      <c r="C413" s="81">
        <v>2024</v>
      </c>
      <c r="D413" s="81">
        <v>0.4</v>
      </c>
      <c r="E413" s="107">
        <v>1</v>
      </c>
      <c r="F413" s="138">
        <v>15</v>
      </c>
      <c r="G413" s="137">
        <v>82.398169999999993</v>
      </c>
      <c r="H413" s="139" t="s">
        <v>1995</v>
      </c>
      <c r="I413" s="123" t="s">
        <v>1327</v>
      </c>
    </row>
    <row r="414" spans="1:9" ht="72.75" customHeight="1">
      <c r="A414" s="81"/>
      <c r="B414" s="123" t="s">
        <v>1996</v>
      </c>
      <c r="C414" s="81">
        <v>2024</v>
      </c>
      <c r="D414" s="81">
        <v>0.4</v>
      </c>
      <c r="E414" s="107">
        <v>1</v>
      </c>
      <c r="F414" s="138">
        <v>15</v>
      </c>
      <c r="G414" s="137">
        <v>82.398169999999993</v>
      </c>
      <c r="H414" s="139" t="s">
        <v>1997</v>
      </c>
      <c r="I414" s="123" t="s">
        <v>1327</v>
      </c>
    </row>
    <row r="415" spans="1:9" ht="72.75" customHeight="1">
      <c r="A415" s="81"/>
      <c r="B415" s="123" t="s">
        <v>1998</v>
      </c>
      <c r="C415" s="81">
        <v>2024</v>
      </c>
      <c r="D415" s="81">
        <v>0.4</v>
      </c>
      <c r="E415" s="107">
        <v>1</v>
      </c>
      <c r="F415" s="138">
        <v>5</v>
      </c>
      <c r="G415" s="137">
        <v>82.398169999999993</v>
      </c>
      <c r="H415" s="139" t="s">
        <v>1999</v>
      </c>
      <c r="I415" s="123" t="s">
        <v>1327</v>
      </c>
    </row>
    <row r="416" spans="1:9" ht="72.75" customHeight="1">
      <c r="A416" s="81"/>
      <c r="B416" s="123" t="s">
        <v>2000</v>
      </c>
      <c r="C416" s="81">
        <v>2024</v>
      </c>
      <c r="D416" s="81">
        <v>0.4</v>
      </c>
      <c r="E416" s="107">
        <v>1</v>
      </c>
      <c r="F416" s="138">
        <v>15</v>
      </c>
      <c r="G416" s="137">
        <v>82.398169999999993</v>
      </c>
      <c r="H416" s="139" t="s">
        <v>2001</v>
      </c>
      <c r="I416" s="123" t="s">
        <v>1327</v>
      </c>
    </row>
    <row r="417" spans="1:9" ht="72.75" customHeight="1">
      <c r="A417" s="81"/>
      <c r="B417" s="123" t="s">
        <v>2002</v>
      </c>
      <c r="C417" s="81">
        <v>2024</v>
      </c>
      <c r="D417" s="81">
        <v>0.4</v>
      </c>
      <c r="E417" s="107">
        <v>1</v>
      </c>
      <c r="F417" s="138">
        <v>15</v>
      </c>
      <c r="G417" s="137">
        <v>82.398169999999993</v>
      </c>
      <c r="H417" s="139" t="s">
        <v>2003</v>
      </c>
      <c r="I417" s="123" t="s">
        <v>1327</v>
      </c>
    </row>
    <row r="418" spans="1:9" ht="72.75" customHeight="1">
      <c r="A418" s="81"/>
      <c r="B418" s="123" t="s">
        <v>2004</v>
      </c>
      <c r="C418" s="81">
        <v>2024</v>
      </c>
      <c r="D418" s="81">
        <v>0.4</v>
      </c>
      <c r="E418" s="107">
        <v>1</v>
      </c>
      <c r="F418" s="138">
        <v>15</v>
      </c>
      <c r="G418" s="137">
        <v>82.398169999999993</v>
      </c>
      <c r="H418" s="139" t="s">
        <v>2005</v>
      </c>
      <c r="I418" s="123" t="s">
        <v>1327</v>
      </c>
    </row>
    <row r="419" spans="1:9" ht="72.75" customHeight="1">
      <c r="A419" s="81"/>
      <c r="B419" s="123" t="s">
        <v>2006</v>
      </c>
      <c r="C419" s="81">
        <v>2024</v>
      </c>
      <c r="D419" s="81">
        <v>0.4</v>
      </c>
      <c r="E419" s="107">
        <v>1</v>
      </c>
      <c r="F419" s="138">
        <v>15</v>
      </c>
      <c r="G419" s="137">
        <v>67.018169999999998</v>
      </c>
      <c r="H419" s="139" t="s">
        <v>2007</v>
      </c>
      <c r="I419" s="123" t="s">
        <v>1330</v>
      </c>
    </row>
    <row r="420" spans="1:9" ht="72.75" customHeight="1">
      <c r="A420" s="81"/>
      <c r="B420" s="123" t="s">
        <v>2008</v>
      </c>
      <c r="C420" s="81">
        <v>2024</v>
      </c>
      <c r="D420" s="81">
        <v>0.4</v>
      </c>
      <c r="E420" s="107">
        <v>1</v>
      </c>
      <c r="F420" s="138">
        <v>15</v>
      </c>
      <c r="G420" s="137">
        <v>67.018169999999998</v>
      </c>
      <c r="H420" s="139" t="s">
        <v>2009</v>
      </c>
      <c r="I420" s="123" t="s">
        <v>1330</v>
      </c>
    </row>
    <row r="421" spans="1:9" ht="72.75" customHeight="1">
      <c r="A421" s="81"/>
      <c r="B421" s="123" t="s">
        <v>2010</v>
      </c>
      <c r="C421" s="81">
        <v>2024</v>
      </c>
      <c r="D421" s="81">
        <v>0.4</v>
      </c>
      <c r="E421" s="107">
        <v>1</v>
      </c>
      <c r="F421" s="138">
        <v>15</v>
      </c>
      <c r="G421" s="137">
        <v>67.018169999999998</v>
      </c>
      <c r="H421" s="139" t="s">
        <v>2011</v>
      </c>
      <c r="I421" s="123" t="s">
        <v>1330</v>
      </c>
    </row>
    <row r="422" spans="1:9" ht="72.75" customHeight="1">
      <c r="A422" s="81"/>
      <c r="B422" s="123" t="s">
        <v>2012</v>
      </c>
      <c r="C422" s="81">
        <v>2024</v>
      </c>
      <c r="D422" s="81">
        <v>0.4</v>
      </c>
      <c r="E422" s="107">
        <v>1</v>
      </c>
      <c r="F422" s="138">
        <v>15</v>
      </c>
      <c r="G422" s="137">
        <v>67.018169999999998</v>
      </c>
      <c r="H422" s="139" t="s">
        <v>2013</v>
      </c>
      <c r="I422" s="123" t="s">
        <v>1330</v>
      </c>
    </row>
    <row r="423" spans="1:9" ht="72.75" customHeight="1">
      <c r="A423" s="81"/>
      <c r="B423" s="123" t="s">
        <v>2014</v>
      </c>
      <c r="C423" s="81">
        <v>2024</v>
      </c>
      <c r="D423" s="81">
        <v>0.4</v>
      </c>
      <c r="E423" s="107">
        <v>1</v>
      </c>
      <c r="F423" s="138">
        <v>15</v>
      </c>
      <c r="G423" s="137">
        <v>67.018169999999998</v>
      </c>
      <c r="H423" s="139" t="s">
        <v>2015</v>
      </c>
      <c r="I423" s="123" t="s">
        <v>1330</v>
      </c>
    </row>
    <row r="424" spans="1:9" ht="72.75" customHeight="1">
      <c r="A424" s="81"/>
      <c r="B424" s="123" t="s">
        <v>2016</v>
      </c>
      <c r="C424" s="81">
        <v>2024</v>
      </c>
      <c r="D424" s="81">
        <v>0.4</v>
      </c>
      <c r="E424" s="107">
        <v>1</v>
      </c>
      <c r="F424" s="138">
        <v>15</v>
      </c>
      <c r="G424" s="137">
        <v>67.018169999999998</v>
      </c>
      <c r="H424" s="139" t="s">
        <v>2017</v>
      </c>
      <c r="I424" s="123" t="s">
        <v>1330</v>
      </c>
    </row>
    <row r="425" spans="1:9" ht="72.75" customHeight="1">
      <c r="A425" s="81"/>
      <c r="B425" s="123" t="s">
        <v>2018</v>
      </c>
      <c r="C425" s="81">
        <v>2024</v>
      </c>
      <c r="D425" s="81">
        <v>0.4</v>
      </c>
      <c r="E425" s="107">
        <v>1</v>
      </c>
      <c r="F425" s="138">
        <v>15</v>
      </c>
      <c r="G425" s="137">
        <v>52.842280000000002</v>
      </c>
      <c r="H425" s="139" t="s">
        <v>2019</v>
      </c>
      <c r="I425" s="123" t="s">
        <v>1330</v>
      </c>
    </row>
    <row r="426" spans="1:9" ht="72.75" customHeight="1">
      <c r="A426" s="81"/>
      <c r="B426" s="123" t="s">
        <v>2020</v>
      </c>
      <c r="C426" s="81">
        <v>2024</v>
      </c>
      <c r="D426" s="81">
        <v>0.4</v>
      </c>
      <c r="E426" s="107">
        <v>1</v>
      </c>
      <c r="F426" s="138">
        <v>15</v>
      </c>
      <c r="G426" s="137">
        <v>82.764889999999994</v>
      </c>
      <c r="H426" s="139" t="s">
        <v>2021</v>
      </c>
      <c r="I426" s="123" t="s">
        <v>1399</v>
      </c>
    </row>
    <row r="427" spans="1:9" ht="72.75" customHeight="1">
      <c r="A427" s="81"/>
      <c r="B427" s="123" t="s">
        <v>2022</v>
      </c>
      <c r="C427" s="81">
        <v>2024</v>
      </c>
      <c r="D427" s="81">
        <v>0.4</v>
      </c>
      <c r="E427" s="107">
        <v>1</v>
      </c>
      <c r="F427" s="138">
        <v>45</v>
      </c>
      <c r="G427" s="137">
        <v>82.039559999999994</v>
      </c>
      <c r="H427" s="139" t="s">
        <v>2023</v>
      </c>
      <c r="I427" s="123" t="s">
        <v>1399</v>
      </c>
    </row>
    <row r="428" spans="1:9" ht="72.75" customHeight="1">
      <c r="A428" s="81"/>
      <c r="B428" s="123" t="s">
        <v>2024</v>
      </c>
      <c r="C428" s="81">
        <v>2024</v>
      </c>
      <c r="D428" s="81">
        <v>0.4</v>
      </c>
      <c r="E428" s="107">
        <v>1</v>
      </c>
      <c r="F428" s="138">
        <v>45</v>
      </c>
      <c r="G428" s="137">
        <v>82.039559999999994</v>
      </c>
      <c r="H428" s="139" t="s">
        <v>2025</v>
      </c>
      <c r="I428" s="123" t="s">
        <v>1399</v>
      </c>
    </row>
    <row r="429" spans="1:9" ht="72.75" customHeight="1">
      <c r="A429" s="81"/>
      <c r="B429" s="123" t="s">
        <v>2026</v>
      </c>
      <c r="C429" s="81">
        <v>2024</v>
      </c>
      <c r="D429" s="81">
        <v>0.4</v>
      </c>
      <c r="E429" s="107">
        <v>1</v>
      </c>
      <c r="F429" s="138">
        <v>45</v>
      </c>
      <c r="G429" s="137">
        <v>82.039559999999994</v>
      </c>
      <c r="H429" s="139" t="s">
        <v>2027</v>
      </c>
      <c r="I429" s="123" t="s">
        <v>1399</v>
      </c>
    </row>
    <row r="430" spans="1:9">
      <c r="A430" s="119" t="s">
        <v>203</v>
      </c>
      <c r="B430" s="88" t="s">
        <v>1200</v>
      </c>
      <c r="C430" s="85"/>
      <c r="D430" s="81"/>
      <c r="E430" s="113">
        <f>SUM(E431:E465)</f>
        <v>35</v>
      </c>
      <c r="F430" s="113">
        <f t="shared" ref="F430:G430" si="33">SUM(F431:F465)</f>
        <v>12418.6</v>
      </c>
      <c r="G430" s="113">
        <f t="shared" si="33"/>
        <v>3073.4611700000014</v>
      </c>
      <c r="H430" s="93"/>
      <c r="I430" s="94"/>
    </row>
    <row r="431" spans="1:9" ht="72.75" customHeight="1">
      <c r="A431" s="81"/>
      <c r="B431" s="123" t="s">
        <v>2028</v>
      </c>
      <c r="C431" s="81">
        <v>2024</v>
      </c>
      <c r="D431" s="81">
        <v>0.4</v>
      </c>
      <c r="E431" s="107">
        <v>1</v>
      </c>
      <c r="F431" s="138">
        <v>150</v>
      </c>
      <c r="G431" s="137">
        <v>42.244099999999996</v>
      </c>
      <c r="H431" s="139" t="s">
        <v>2029</v>
      </c>
      <c r="I431" s="123" t="s">
        <v>1414</v>
      </c>
    </row>
    <row r="432" spans="1:9" ht="72.75" customHeight="1">
      <c r="A432" s="81"/>
      <c r="B432" s="123" t="s">
        <v>2030</v>
      </c>
      <c r="C432" s="81">
        <v>2024</v>
      </c>
      <c r="D432" s="81">
        <v>0.4</v>
      </c>
      <c r="E432" s="107">
        <v>1</v>
      </c>
      <c r="F432" s="138">
        <v>215</v>
      </c>
      <c r="G432" s="137">
        <v>39.005420000000001</v>
      </c>
      <c r="H432" s="139" t="s">
        <v>2031</v>
      </c>
      <c r="I432" s="123" t="s">
        <v>2032</v>
      </c>
    </row>
    <row r="433" spans="1:9" ht="72.75" customHeight="1">
      <c r="A433" s="81"/>
      <c r="B433" s="123" t="s">
        <v>2033</v>
      </c>
      <c r="C433" s="81">
        <v>2024</v>
      </c>
      <c r="D433" s="81">
        <v>0.4</v>
      </c>
      <c r="E433" s="107">
        <v>1</v>
      </c>
      <c r="F433" s="138">
        <v>150</v>
      </c>
      <c r="G433" s="137">
        <v>104.36163000000001</v>
      </c>
      <c r="H433" s="139" t="s">
        <v>2034</v>
      </c>
      <c r="I433" s="123" t="s">
        <v>1377</v>
      </c>
    </row>
    <row r="434" spans="1:9" ht="72.75" customHeight="1">
      <c r="A434" s="81"/>
      <c r="B434" s="123" t="s">
        <v>2035</v>
      </c>
      <c r="C434" s="81">
        <v>2024</v>
      </c>
      <c r="D434" s="81">
        <v>0.4</v>
      </c>
      <c r="E434" s="107">
        <v>1</v>
      </c>
      <c r="F434" s="138">
        <v>150</v>
      </c>
      <c r="G434" s="137">
        <v>199.7081</v>
      </c>
      <c r="H434" s="139" t="s">
        <v>2036</v>
      </c>
      <c r="I434" s="123" t="s">
        <v>1380</v>
      </c>
    </row>
    <row r="435" spans="1:9" ht="72.75" customHeight="1">
      <c r="A435" s="81"/>
      <c r="B435" s="123" t="s">
        <v>2037</v>
      </c>
      <c r="C435" s="81">
        <v>2024</v>
      </c>
      <c r="D435" s="81">
        <v>0.4</v>
      </c>
      <c r="E435" s="107">
        <v>1</v>
      </c>
      <c r="F435" s="138">
        <v>145</v>
      </c>
      <c r="G435" s="137">
        <v>43.930669999999999</v>
      </c>
      <c r="H435" s="139" t="s">
        <v>2038</v>
      </c>
      <c r="I435" s="123" t="s">
        <v>2039</v>
      </c>
    </row>
    <row r="436" spans="1:9" ht="72.75" customHeight="1">
      <c r="A436" s="81"/>
      <c r="B436" s="123" t="s">
        <v>2040</v>
      </c>
      <c r="C436" s="81">
        <v>2024</v>
      </c>
      <c r="D436" s="81">
        <v>0.4</v>
      </c>
      <c r="E436" s="107">
        <v>1</v>
      </c>
      <c r="F436" s="138">
        <v>50</v>
      </c>
      <c r="G436" s="137">
        <v>48.77055</v>
      </c>
      <c r="H436" s="139" t="s">
        <v>2041</v>
      </c>
      <c r="I436" s="123" t="s">
        <v>1450</v>
      </c>
    </row>
    <row r="437" spans="1:9" ht="72.75" customHeight="1">
      <c r="A437" s="81"/>
      <c r="B437" s="123" t="s">
        <v>2042</v>
      </c>
      <c r="C437" s="81">
        <v>2024</v>
      </c>
      <c r="D437" s="81">
        <v>0.4</v>
      </c>
      <c r="E437" s="107">
        <v>1</v>
      </c>
      <c r="F437" s="138">
        <v>150</v>
      </c>
      <c r="G437" s="137">
        <v>121.43824000000001</v>
      </c>
      <c r="H437" s="139" t="s">
        <v>2043</v>
      </c>
      <c r="I437" s="123" t="s">
        <v>1395</v>
      </c>
    </row>
    <row r="438" spans="1:9" ht="72.75" customHeight="1">
      <c r="A438" s="81"/>
      <c r="B438" s="123" t="s">
        <v>2044</v>
      </c>
      <c r="C438" s="81">
        <v>2024</v>
      </c>
      <c r="D438" s="81">
        <v>0.4</v>
      </c>
      <c r="E438" s="107">
        <v>1</v>
      </c>
      <c r="F438" s="138">
        <v>150</v>
      </c>
      <c r="G438" s="137">
        <v>135.85147000000001</v>
      </c>
      <c r="H438" s="139" t="s">
        <v>2045</v>
      </c>
      <c r="I438" s="123" t="s">
        <v>1390</v>
      </c>
    </row>
    <row r="439" spans="1:9" ht="72.75" customHeight="1">
      <c r="A439" s="81"/>
      <c r="B439" s="123" t="s">
        <v>2046</v>
      </c>
      <c r="C439" s="81">
        <v>2024</v>
      </c>
      <c r="D439" s="81">
        <v>0.4</v>
      </c>
      <c r="E439" s="107">
        <v>1</v>
      </c>
      <c r="F439" s="138">
        <v>150</v>
      </c>
      <c r="G439" s="137">
        <v>81.773049999999998</v>
      </c>
      <c r="H439" s="139" t="s">
        <v>2047</v>
      </c>
      <c r="I439" s="123" t="s">
        <v>1387</v>
      </c>
    </row>
    <row r="440" spans="1:9" ht="72.75" customHeight="1">
      <c r="A440" s="81"/>
      <c r="B440" s="123" t="s">
        <v>2048</v>
      </c>
      <c r="C440" s="81">
        <v>2024</v>
      </c>
      <c r="D440" s="81">
        <v>0.4</v>
      </c>
      <c r="E440" s="107">
        <v>1</v>
      </c>
      <c r="F440" s="138">
        <v>149</v>
      </c>
      <c r="G440" s="137">
        <v>27.755980000000001</v>
      </c>
      <c r="H440" s="139" t="s">
        <v>2049</v>
      </c>
      <c r="I440" s="123" t="s">
        <v>1334</v>
      </c>
    </row>
    <row r="441" spans="1:9" ht="72.75" customHeight="1">
      <c r="A441" s="81"/>
      <c r="B441" s="123" t="s">
        <v>2050</v>
      </c>
      <c r="C441" s="81">
        <v>2024</v>
      </c>
      <c r="D441" s="81">
        <v>0.4</v>
      </c>
      <c r="E441" s="107">
        <v>1</v>
      </c>
      <c r="F441" s="138">
        <v>150</v>
      </c>
      <c r="G441" s="137">
        <v>81.943060000000003</v>
      </c>
      <c r="H441" s="139" t="s">
        <v>2051</v>
      </c>
      <c r="I441" s="123" t="s">
        <v>1432</v>
      </c>
    </row>
    <row r="442" spans="1:9" ht="72.75" customHeight="1">
      <c r="A442" s="81"/>
      <c r="B442" s="123" t="s">
        <v>2052</v>
      </c>
      <c r="C442" s="81">
        <v>2024</v>
      </c>
      <c r="D442" s="81">
        <v>0.4</v>
      </c>
      <c r="E442" s="107">
        <v>1</v>
      </c>
      <c r="F442" s="138">
        <v>149</v>
      </c>
      <c r="G442" s="137">
        <v>60.234760000000001</v>
      </c>
      <c r="H442" s="139" t="s">
        <v>2053</v>
      </c>
      <c r="I442" s="123" t="s">
        <v>2054</v>
      </c>
    </row>
    <row r="443" spans="1:9" ht="72.75" customHeight="1">
      <c r="A443" s="81"/>
      <c r="B443" s="123" t="s">
        <v>2055</v>
      </c>
      <c r="C443" s="81">
        <v>2024</v>
      </c>
      <c r="D443" s="81">
        <v>0.4</v>
      </c>
      <c r="E443" s="107">
        <v>1</v>
      </c>
      <c r="F443" s="138">
        <v>149</v>
      </c>
      <c r="G443" s="137">
        <v>60.234760000000001</v>
      </c>
      <c r="H443" s="139" t="s">
        <v>2056</v>
      </c>
      <c r="I443" s="123" t="s">
        <v>2054</v>
      </c>
    </row>
    <row r="444" spans="1:9" ht="72.75" customHeight="1">
      <c r="A444" s="81"/>
      <c r="B444" s="123" t="s">
        <v>2057</v>
      </c>
      <c r="C444" s="81">
        <v>2024</v>
      </c>
      <c r="D444" s="81">
        <v>0.4</v>
      </c>
      <c r="E444" s="107">
        <v>1</v>
      </c>
      <c r="F444" s="138">
        <v>150</v>
      </c>
      <c r="G444" s="137">
        <v>32.477060000000002</v>
      </c>
      <c r="H444" s="139" t="s">
        <v>2058</v>
      </c>
      <c r="I444" s="123" t="s">
        <v>1336</v>
      </c>
    </row>
    <row r="445" spans="1:9" ht="72.75" customHeight="1">
      <c r="A445" s="81"/>
      <c r="B445" s="123" t="s">
        <v>2059</v>
      </c>
      <c r="C445" s="81">
        <v>2024</v>
      </c>
      <c r="D445" s="81">
        <v>0.4</v>
      </c>
      <c r="E445" s="107">
        <v>1</v>
      </c>
      <c r="F445" s="138">
        <v>150</v>
      </c>
      <c r="G445" s="137">
        <v>196.89541</v>
      </c>
      <c r="H445" s="139" t="s">
        <v>2060</v>
      </c>
      <c r="I445" s="123" t="s">
        <v>1405</v>
      </c>
    </row>
    <row r="446" spans="1:9" ht="72.75" customHeight="1">
      <c r="A446" s="81"/>
      <c r="B446" s="123" t="s">
        <v>2061</v>
      </c>
      <c r="C446" s="81">
        <v>2024</v>
      </c>
      <c r="D446" s="81">
        <v>0.4</v>
      </c>
      <c r="E446" s="107">
        <v>1</v>
      </c>
      <c r="F446" s="138">
        <v>150</v>
      </c>
      <c r="G446" s="137">
        <v>190.92224999999999</v>
      </c>
      <c r="H446" s="139" t="s">
        <v>2062</v>
      </c>
      <c r="I446" s="123" t="s">
        <v>1405</v>
      </c>
    </row>
    <row r="447" spans="1:9" ht="72.75" customHeight="1">
      <c r="A447" s="81"/>
      <c r="B447" s="123" t="s">
        <v>2063</v>
      </c>
      <c r="C447" s="81">
        <v>2024</v>
      </c>
      <c r="D447" s="81">
        <v>0.4</v>
      </c>
      <c r="E447" s="107">
        <v>1</v>
      </c>
      <c r="F447" s="138">
        <v>50</v>
      </c>
      <c r="G447" s="137">
        <v>371.29406</v>
      </c>
      <c r="H447" s="139" t="s">
        <v>2064</v>
      </c>
      <c r="I447" s="123" t="s">
        <v>1355</v>
      </c>
    </row>
    <row r="448" spans="1:9" ht="72.75" customHeight="1">
      <c r="A448" s="81"/>
      <c r="B448" s="123" t="s">
        <v>2065</v>
      </c>
      <c r="C448" s="81">
        <v>2024</v>
      </c>
      <c r="D448" s="81">
        <v>0.4</v>
      </c>
      <c r="E448" s="107">
        <v>1</v>
      </c>
      <c r="F448" s="138">
        <v>100</v>
      </c>
      <c r="G448" s="137">
        <v>200.94657000000001</v>
      </c>
      <c r="H448" s="139" t="s">
        <v>2066</v>
      </c>
      <c r="I448" s="123" t="s">
        <v>1371</v>
      </c>
    </row>
    <row r="449" spans="1:9" ht="72.75" customHeight="1">
      <c r="A449" s="81"/>
      <c r="B449" s="123" t="s">
        <v>2067</v>
      </c>
      <c r="C449" s="81">
        <v>2024</v>
      </c>
      <c r="D449" s="81">
        <v>0.4</v>
      </c>
      <c r="E449" s="107">
        <v>1</v>
      </c>
      <c r="F449" s="138">
        <v>75</v>
      </c>
      <c r="G449" s="137">
        <v>140.00104000000002</v>
      </c>
      <c r="H449" s="139" t="s">
        <v>2068</v>
      </c>
      <c r="I449" s="123" t="s">
        <v>1374</v>
      </c>
    </row>
    <row r="450" spans="1:9" ht="72.75" customHeight="1">
      <c r="A450" s="81"/>
      <c r="B450" s="123" t="s">
        <v>2069</v>
      </c>
      <c r="C450" s="81">
        <v>2024</v>
      </c>
      <c r="D450" s="81">
        <v>0.4</v>
      </c>
      <c r="E450" s="107">
        <v>1</v>
      </c>
      <c r="F450" s="138">
        <v>200</v>
      </c>
      <c r="G450" s="137">
        <v>52.516620000000003</v>
      </c>
      <c r="H450" s="139" t="s">
        <v>2070</v>
      </c>
      <c r="I450" s="123" t="s">
        <v>1408</v>
      </c>
    </row>
    <row r="451" spans="1:9" ht="72.75" customHeight="1">
      <c r="A451" s="81"/>
      <c r="B451" s="123" t="s">
        <v>2071</v>
      </c>
      <c r="C451" s="81">
        <v>2024</v>
      </c>
      <c r="D451" s="81">
        <v>0.4</v>
      </c>
      <c r="E451" s="107">
        <v>1</v>
      </c>
      <c r="F451" s="138">
        <v>200</v>
      </c>
      <c r="G451" s="137">
        <v>52.516620000000003</v>
      </c>
      <c r="H451" s="139" t="s">
        <v>2072</v>
      </c>
      <c r="I451" s="123" t="s">
        <v>1408</v>
      </c>
    </row>
    <row r="452" spans="1:9" ht="72.75" customHeight="1">
      <c r="A452" s="81"/>
      <c r="B452" s="123" t="s">
        <v>2073</v>
      </c>
      <c r="C452" s="81">
        <v>2024</v>
      </c>
      <c r="D452" s="81">
        <v>0.4</v>
      </c>
      <c r="E452" s="107">
        <v>1</v>
      </c>
      <c r="F452" s="138">
        <v>194.8</v>
      </c>
      <c r="G452" s="137">
        <v>49.886389999999999</v>
      </c>
      <c r="H452" s="139" t="s">
        <v>2074</v>
      </c>
      <c r="I452" s="123" t="s">
        <v>1490</v>
      </c>
    </row>
    <row r="453" spans="1:9" ht="72.75" customHeight="1">
      <c r="A453" s="81"/>
      <c r="B453" s="123" t="s">
        <v>2075</v>
      </c>
      <c r="C453" s="81">
        <v>2024</v>
      </c>
      <c r="D453" s="81">
        <v>0.4</v>
      </c>
      <c r="E453" s="107">
        <v>1</v>
      </c>
      <c r="F453" s="138">
        <v>194.8</v>
      </c>
      <c r="G453" s="137">
        <v>49.886389999999999</v>
      </c>
      <c r="H453" s="139" t="s">
        <v>2076</v>
      </c>
      <c r="I453" s="123" t="s">
        <v>1490</v>
      </c>
    </row>
    <row r="454" spans="1:9" ht="72.75" customHeight="1">
      <c r="A454" s="81"/>
      <c r="B454" s="123" t="s">
        <v>2077</v>
      </c>
      <c r="C454" s="81">
        <v>2024</v>
      </c>
      <c r="D454" s="81">
        <v>0.4</v>
      </c>
      <c r="E454" s="107">
        <v>1</v>
      </c>
      <c r="F454" s="138">
        <v>150</v>
      </c>
      <c r="G454" s="137">
        <v>191.33879999999999</v>
      </c>
      <c r="H454" s="139" t="s">
        <v>2078</v>
      </c>
      <c r="I454" s="123" t="s">
        <v>1365</v>
      </c>
    </row>
    <row r="455" spans="1:9" ht="72.75" customHeight="1">
      <c r="A455" s="81"/>
      <c r="B455" s="123" t="s">
        <v>2079</v>
      </c>
      <c r="C455" s="81">
        <v>2024</v>
      </c>
      <c r="D455" s="81">
        <v>0.4</v>
      </c>
      <c r="E455" s="107">
        <v>1</v>
      </c>
      <c r="F455" s="138">
        <v>254</v>
      </c>
      <c r="G455" s="137">
        <v>56.107370000000003</v>
      </c>
      <c r="H455" s="139" t="s">
        <v>2080</v>
      </c>
      <c r="I455" s="123" t="s">
        <v>1362</v>
      </c>
    </row>
    <row r="456" spans="1:9" ht="72.75" customHeight="1">
      <c r="A456" s="81"/>
      <c r="B456" s="123" t="s">
        <v>2081</v>
      </c>
      <c r="C456" s="81">
        <v>2024</v>
      </c>
      <c r="D456" s="81">
        <v>0.4</v>
      </c>
      <c r="E456" s="107">
        <v>1</v>
      </c>
      <c r="F456" s="138">
        <v>254</v>
      </c>
      <c r="G456" s="137">
        <v>56.107370000000003</v>
      </c>
      <c r="H456" s="139" t="s">
        <v>2082</v>
      </c>
      <c r="I456" s="123" t="s">
        <v>1362</v>
      </c>
    </row>
    <row r="457" spans="1:9" ht="72.75" customHeight="1">
      <c r="A457" s="81"/>
      <c r="B457" s="123" t="s">
        <v>2083</v>
      </c>
      <c r="C457" s="81">
        <v>2024</v>
      </c>
      <c r="D457" s="81">
        <v>0.4</v>
      </c>
      <c r="E457" s="107">
        <v>1</v>
      </c>
      <c r="F457" s="138">
        <v>254</v>
      </c>
      <c r="G457" s="137">
        <v>33.363129999999998</v>
      </c>
      <c r="H457" s="139" t="s">
        <v>2084</v>
      </c>
      <c r="I457" s="123" t="s">
        <v>1362</v>
      </c>
    </row>
    <row r="458" spans="1:9" ht="72.75" customHeight="1">
      <c r="A458" s="81"/>
      <c r="B458" s="123" t="s">
        <v>2085</v>
      </c>
      <c r="C458" s="81">
        <v>2024</v>
      </c>
      <c r="D458" s="81">
        <v>0.4</v>
      </c>
      <c r="E458" s="107">
        <v>1</v>
      </c>
      <c r="F458" s="138">
        <v>150</v>
      </c>
      <c r="G458" s="137">
        <v>41.002480000000006</v>
      </c>
      <c r="H458" s="139" t="s">
        <v>2086</v>
      </c>
      <c r="I458" s="123" t="s">
        <v>1419</v>
      </c>
    </row>
    <row r="459" spans="1:9" ht="72.75" customHeight="1">
      <c r="A459" s="81"/>
      <c r="B459" s="123" t="s">
        <v>2087</v>
      </c>
      <c r="C459" s="81">
        <v>2024</v>
      </c>
      <c r="D459" s="81">
        <v>0.4</v>
      </c>
      <c r="E459" s="107">
        <v>1</v>
      </c>
      <c r="F459" s="138">
        <v>285</v>
      </c>
      <c r="G459" s="137">
        <v>65.741540000000001</v>
      </c>
      <c r="H459" s="139" t="s">
        <v>2088</v>
      </c>
      <c r="I459" s="123" t="s">
        <v>1423</v>
      </c>
    </row>
    <row r="460" spans="1:9" ht="72.75" customHeight="1">
      <c r="A460" s="81"/>
      <c r="B460" s="123" t="s">
        <v>2089</v>
      </c>
      <c r="C460" s="81">
        <v>2024</v>
      </c>
      <c r="D460" s="81">
        <v>0.4</v>
      </c>
      <c r="E460" s="107">
        <v>1</v>
      </c>
      <c r="F460" s="138">
        <v>1850</v>
      </c>
      <c r="G460" s="137">
        <v>38.986690000000003</v>
      </c>
      <c r="H460" s="139" t="s">
        <v>2090</v>
      </c>
      <c r="I460" s="123" t="s">
        <v>1427</v>
      </c>
    </row>
    <row r="461" spans="1:9" ht="72.75" customHeight="1">
      <c r="A461" s="81"/>
      <c r="B461" s="123" t="s">
        <v>2091</v>
      </c>
      <c r="C461" s="81">
        <v>2024</v>
      </c>
      <c r="D461" s="81">
        <v>0.4</v>
      </c>
      <c r="E461" s="107">
        <v>1</v>
      </c>
      <c r="F461" s="138">
        <v>1850</v>
      </c>
      <c r="G461" s="137">
        <v>38.986690000000003</v>
      </c>
      <c r="H461" s="139" t="s">
        <v>2092</v>
      </c>
      <c r="I461" s="123" t="s">
        <v>1427</v>
      </c>
    </row>
    <row r="462" spans="1:9" ht="72.75" customHeight="1">
      <c r="A462" s="81"/>
      <c r="B462" s="123" t="s">
        <v>2093</v>
      </c>
      <c r="C462" s="81">
        <v>2024</v>
      </c>
      <c r="D462" s="81">
        <v>0.4</v>
      </c>
      <c r="E462" s="107">
        <v>1</v>
      </c>
      <c r="F462" s="138">
        <v>1850</v>
      </c>
      <c r="G462" s="137">
        <v>40.994660000000003</v>
      </c>
      <c r="H462" s="139" t="s">
        <v>2094</v>
      </c>
      <c r="I462" s="123" t="s">
        <v>1427</v>
      </c>
    </row>
    <row r="463" spans="1:9" ht="72.75" customHeight="1">
      <c r="A463" s="81"/>
      <c r="B463" s="123" t="s">
        <v>2095</v>
      </c>
      <c r="C463" s="81">
        <v>2024</v>
      </c>
      <c r="D463" s="81">
        <v>0.4</v>
      </c>
      <c r="E463" s="107">
        <v>1</v>
      </c>
      <c r="F463" s="138">
        <v>1850</v>
      </c>
      <c r="G463" s="137">
        <v>39.378660000000004</v>
      </c>
      <c r="H463" s="139" t="s">
        <v>2096</v>
      </c>
      <c r="I463" s="123" t="s">
        <v>1427</v>
      </c>
    </row>
    <row r="464" spans="1:9" ht="72.75" customHeight="1">
      <c r="A464" s="81"/>
      <c r="B464" s="123" t="s">
        <v>2097</v>
      </c>
      <c r="C464" s="81">
        <v>2024</v>
      </c>
      <c r="D464" s="81">
        <v>0.4</v>
      </c>
      <c r="E464" s="107">
        <v>1</v>
      </c>
      <c r="F464" s="138">
        <v>150</v>
      </c>
      <c r="G464" s="137">
        <v>43.429790000000004</v>
      </c>
      <c r="H464" s="139" t="s">
        <v>2098</v>
      </c>
      <c r="I464" s="123" t="s">
        <v>1436</v>
      </c>
    </row>
    <row r="465" spans="1:9" ht="72.75" customHeight="1">
      <c r="A465" s="81"/>
      <c r="B465" s="123" t="s">
        <v>2099</v>
      </c>
      <c r="C465" s="81">
        <v>2024</v>
      </c>
      <c r="D465" s="81">
        <v>0.4</v>
      </c>
      <c r="E465" s="107">
        <v>1</v>
      </c>
      <c r="F465" s="138">
        <v>150</v>
      </c>
      <c r="G465" s="137">
        <v>43.429790000000004</v>
      </c>
      <c r="H465" s="139" t="s">
        <v>2100</v>
      </c>
      <c r="I465" s="123" t="s">
        <v>1436</v>
      </c>
    </row>
    <row r="466" spans="1:9">
      <c r="A466" s="119" t="s">
        <v>168</v>
      </c>
      <c r="B466" s="88" t="s">
        <v>1290</v>
      </c>
      <c r="C466" s="85"/>
      <c r="D466" s="81"/>
      <c r="E466" s="126">
        <f>SUM(E467:E559)</f>
        <v>0</v>
      </c>
      <c r="F466" s="126">
        <f>SUM(F467:F559)</f>
        <v>0</v>
      </c>
      <c r="G466" s="87">
        <f>SUM(G467:G559)</f>
        <v>0</v>
      </c>
      <c r="H466" s="127"/>
      <c r="I466" s="147"/>
    </row>
    <row r="467" spans="1:9">
      <c r="A467" s="149"/>
      <c r="B467" s="150"/>
      <c r="C467" s="149"/>
      <c r="D467" s="151"/>
      <c r="E467" s="151"/>
      <c r="F467" s="151"/>
      <c r="G467" s="151"/>
      <c r="H467" s="149"/>
      <c r="I467" s="150"/>
    </row>
    <row r="468" spans="1:9">
      <c r="A468" s="149"/>
      <c r="B468" s="150"/>
      <c r="C468" s="149"/>
      <c r="D468" s="151"/>
      <c r="E468" s="151"/>
      <c r="F468" s="151"/>
      <c r="G468" s="151"/>
      <c r="H468" s="149"/>
      <c r="I468" s="150"/>
    </row>
    <row r="469" spans="1:9">
      <c r="A469" s="149"/>
      <c r="B469" s="150"/>
      <c r="C469" s="149"/>
      <c r="D469" s="151"/>
      <c r="E469" s="151"/>
      <c r="F469" s="151"/>
      <c r="G469" s="151"/>
      <c r="H469" s="149"/>
      <c r="I469" s="150"/>
    </row>
    <row r="470" spans="1:9">
      <c r="A470" s="149"/>
      <c r="B470" s="150"/>
      <c r="C470" s="149"/>
      <c r="D470" s="151"/>
      <c r="E470" s="151"/>
      <c r="F470" s="151"/>
      <c r="G470" s="151"/>
      <c r="H470" s="149"/>
      <c r="I470" s="150"/>
    </row>
    <row r="471" spans="1:9">
      <c r="A471" s="149"/>
      <c r="B471" s="150"/>
      <c r="C471" s="149"/>
      <c r="D471" s="151"/>
      <c r="E471" s="151"/>
      <c r="F471" s="151"/>
      <c r="G471" s="151"/>
      <c r="H471" s="149"/>
      <c r="I471" s="150"/>
    </row>
    <row r="472" spans="1:9">
      <c r="A472" s="149"/>
      <c r="B472" s="150"/>
      <c r="C472" s="149"/>
      <c r="D472" s="151"/>
      <c r="E472" s="151"/>
      <c r="F472" s="151"/>
      <c r="G472" s="151"/>
      <c r="H472" s="149"/>
      <c r="I472" s="150"/>
    </row>
  </sheetData>
  <mergeCells count="13">
    <mergeCell ref="J155:M155"/>
    <mergeCell ref="J147:M147"/>
    <mergeCell ref="J148:M148"/>
    <mergeCell ref="J149:M149"/>
    <mergeCell ref="J150:M150"/>
    <mergeCell ref="J152:M152"/>
    <mergeCell ref="J154:M154"/>
    <mergeCell ref="J146:M146"/>
    <mergeCell ref="H1:I1"/>
    <mergeCell ref="A2:I2"/>
    <mergeCell ref="J142:M142"/>
    <mergeCell ref="J144:M144"/>
    <mergeCell ref="J145:M14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3"/>
  <sheetViews>
    <sheetView tabSelected="1" view="pageBreakPreview" topLeftCell="A67" zoomScale="85" zoomScaleNormal="100" zoomScaleSheetLayoutView="85" workbookViewId="0">
      <selection activeCell="M75" sqref="M75"/>
    </sheetView>
  </sheetViews>
  <sheetFormatPr defaultColWidth="9.109375" defaultRowHeight="13.2"/>
  <cols>
    <col min="1" max="1" width="9.5546875" style="26" bestFit="1" customWidth="1"/>
    <col min="2" max="2" width="29.33203125" style="26" customWidth="1"/>
    <col min="3" max="3" width="22.109375" style="26" customWidth="1"/>
    <col min="4" max="4" width="19.5546875" style="26" bestFit="1" customWidth="1"/>
    <col min="5" max="5" width="22.5546875" style="26" bestFit="1" customWidth="1"/>
    <col min="6" max="6" width="17" style="26" customWidth="1"/>
    <col min="7" max="8" width="0" style="26" hidden="1" customWidth="1"/>
    <col min="9" max="9" width="13.5546875" style="26" hidden="1" customWidth="1"/>
    <col min="10" max="12" width="9.109375" style="26"/>
    <col min="13" max="13" width="10.6640625" style="26" bestFit="1" customWidth="1"/>
    <col min="14" max="16384" width="9.109375" style="26"/>
  </cols>
  <sheetData>
    <row r="2" spans="1:10" customFormat="1" ht="15.6">
      <c r="A2" s="207" t="s">
        <v>2101</v>
      </c>
      <c r="B2" s="207"/>
      <c r="C2" s="207"/>
      <c r="D2" s="207"/>
      <c r="E2" s="207"/>
      <c r="F2" s="207"/>
    </row>
    <row r="3" spans="1:10" customFormat="1" ht="15.6">
      <c r="A3" s="207" t="s">
        <v>2102</v>
      </c>
      <c r="B3" s="207"/>
      <c r="C3" s="207"/>
      <c r="D3" s="207"/>
      <c r="E3" s="207"/>
      <c r="F3" s="207"/>
    </row>
    <row r="4" spans="1:10" customFormat="1" ht="15.6">
      <c r="A4" s="207" t="s">
        <v>2103</v>
      </c>
      <c r="B4" s="207"/>
      <c r="C4" s="207"/>
      <c r="D4" s="207"/>
      <c r="E4" s="207"/>
      <c r="F4" s="207"/>
    </row>
    <row r="5" spans="1:10" customFormat="1" ht="15.6">
      <c r="A5" s="207" t="s">
        <v>2104</v>
      </c>
      <c r="B5" s="207"/>
      <c r="C5" s="207"/>
      <c r="D5" s="207"/>
      <c r="E5" s="207"/>
      <c r="F5" s="207"/>
    </row>
    <row r="6" spans="1:10" customFormat="1" ht="15.6">
      <c r="A6" s="207" t="s">
        <v>2105</v>
      </c>
      <c r="B6" s="207"/>
      <c r="C6" s="207"/>
      <c r="D6" s="207"/>
      <c r="E6" s="207"/>
      <c r="F6" s="207"/>
    </row>
    <row r="7" spans="1:10" customFormat="1" ht="15.6">
      <c r="A7" s="156"/>
      <c r="B7" s="156"/>
      <c r="C7" s="156"/>
      <c r="D7" s="156"/>
      <c r="E7" s="156"/>
      <c r="F7" s="156"/>
    </row>
    <row r="8" spans="1:10" ht="44.25" customHeight="1">
      <c r="A8" s="208" t="s">
        <v>725</v>
      </c>
      <c r="B8" s="208"/>
      <c r="C8" s="208"/>
      <c r="D8" s="208"/>
      <c r="E8" s="208"/>
      <c r="F8" s="208"/>
    </row>
    <row r="9" spans="1:10" ht="18" customHeight="1">
      <c r="A9" s="154"/>
      <c r="B9" s="154"/>
      <c r="C9" s="154"/>
      <c r="D9" s="154"/>
      <c r="E9" s="154"/>
      <c r="F9" s="154"/>
    </row>
    <row r="10" spans="1:10" ht="15.6">
      <c r="A10" s="209" t="s">
        <v>83</v>
      </c>
      <c r="B10" s="209" t="s">
        <v>84</v>
      </c>
      <c r="C10" s="209" t="s">
        <v>85</v>
      </c>
      <c r="D10" s="209"/>
      <c r="E10" s="209"/>
      <c r="F10" s="209" t="s">
        <v>86</v>
      </c>
    </row>
    <row r="11" spans="1:10" ht="62.4">
      <c r="A11" s="209"/>
      <c r="B11" s="209"/>
      <c r="C11" s="155" t="s">
        <v>205</v>
      </c>
      <c r="D11" s="155" t="s">
        <v>87</v>
      </c>
      <c r="E11" s="155" t="s">
        <v>88</v>
      </c>
      <c r="F11" s="209"/>
    </row>
    <row r="12" spans="1:10" ht="13.8">
      <c r="A12" s="56">
        <v>1</v>
      </c>
      <c r="B12" s="56">
        <v>2</v>
      </c>
      <c r="C12" s="56">
        <v>3</v>
      </c>
      <c r="D12" s="56">
        <v>4</v>
      </c>
      <c r="E12" s="56">
        <v>5</v>
      </c>
      <c r="F12" s="56">
        <v>6</v>
      </c>
    </row>
    <row r="13" spans="1:10" ht="62.4">
      <c r="A13" s="155">
        <v>1</v>
      </c>
      <c r="B13" s="48" t="s">
        <v>171</v>
      </c>
      <c r="C13" s="57">
        <v>3372954.06</v>
      </c>
      <c r="D13" s="58">
        <v>582</v>
      </c>
      <c r="E13" s="57">
        <v>24236.33</v>
      </c>
      <c r="F13" s="57">
        <f>C13/D13</f>
        <v>5795.4537113402066</v>
      </c>
      <c r="J13" s="132"/>
    </row>
    <row r="14" spans="1:10" ht="62.4">
      <c r="A14" s="155">
        <v>2</v>
      </c>
      <c r="B14" s="48" t="s">
        <v>206</v>
      </c>
      <c r="C14" s="57">
        <v>5059431.09</v>
      </c>
      <c r="D14" s="58">
        <v>582</v>
      </c>
      <c r="E14" s="57">
        <v>24236.33</v>
      </c>
      <c r="F14" s="57">
        <f>F16+F15</f>
        <v>17386.055003332454</v>
      </c>
      <c r="J14" s="132"/>
    </row>
    <row r="15" spans="1:10" ht="202.8">
      <c r="A15" s="23" t="s">
        <v>172</v>
      </c>
      <c r="B15" s="48" t="s">
        <v>726</v>
      </c>
      <c r="C15" s="57">
        <v>3764216.73</v>
      </c>
      <c r="D15" s="58">
        <v>433</v>
      </c>
      <c r="E15" s="57">
        <v>8921.2999999999993</v>
      </c>
      <c r="F15" s="57">
        <f>C15/D15</f>
        <v>8693.3411778290993</v>
      </c>
    </row>
    <row r="16" spans="1:10" ht="156">
      <c r="A16" s="23" t="s">
        <v>173</v>
      </c>
      <c r="B16" s="48" t="s">
        <v>207</v>
      </c>
      <c r="C16" s="57">
        <v>1295214.3600000001</v>
      </c>
      <c r="D16" s="58">
        <v>149</v>
      </c>
      <c r="E16" s="57">
        <v>15315.03</v>
      </c>
      <c r="F16" s="57">
        <f>C16/D16</f>
        <v>8692.7138255033569</v>
      </c>
    </row>
    <row r="17" spans="1:6" ht="15.6">
      <c r="A17" s="157"/>
      <c r="B17" s="158"/>
      <c r="C17" s="159"/>
      <c r="D17" s="160"/>
      <c r="E17" s="159"/>
      <c r="F17" s="159"/>
    </row>
    <row r="18" spans="1:6" ht="15.6">
      <c r="A18" s="157"/>
      <c r="B18" s="158"/>
      <c r="C18" s="159"/>
      <c r="D18" s="160"/>
      <c r="E18" s="159"/>
      <c r="F18" s="159"/>
    </row>
    <row r="19" spans="1:6" ht="15.6">
      <c r="A19" s="157"/>
      <c r="B19" s="158"/>
      <c r="C19" s="159"/>
      <c r="D19" s="160"/>
      <c r="E19" s="159"/>
      <c r="F19" s="159"/>
    </row>
    <row r="20" spans="1:6">
      <c r="A20" s="210" t="s">
        <v>2106</v>
      </c>
      <c r="B20" s="210"/>
      <c r="C20" s="210"/>
      <c r="D20" s="210"/>
      <c r="E20" s="210"/>
      <c r="F20" s="210"/>
    </row>
    <row r="21" spans="1:6" ht="15.6">
      <c r="A21" s="157"/>
      <c r="B21" s="158"/>
      <c r="C21" s="159"/>
      <c r="D21" s="160"/>
      <c r="E21" s="159"/>
      <c r="F21" s="159"/>
    </row>
    <row r="22" spans="1:6" ht="15.6">
      <c r="A22" s="157"/>
      <c r="B22" s="158"/>
      <c r="C22" s="159"/>
      <c r="D22" s="160"/>
      <c r="E22" s="159"/>
      <c r="F22" s="159"/>
    </row>
    <row r="23" spans="1:6" ht="15.6">
      <c r="A23" s="157"/>
      <c r="B23" s="158"/>
      <c r="C23" s="159"/>
      <c r="D23" s="160"/>
      <c r="E23" s="159"/>
      <c r="F23" s="159"/>
    </row>
    <row r="25" spans="1:6" ht="15.6">
      <c r="A25" s="157"/>
      <c r="B25" s="158"/>
      <c r="C25" s="159"/>
      <c r="D25" s="160"/>
      <c r="E25" s="159"/>
      <c r="F25" s="159"/>
    </row>
    <row r="27" spans="1:6" customFormat="1" ht="18.75" customHeight="1">
      <c r="A27" s="207" t="s">
        <v>2101</v>
      </c>
      <c r="B27" s="207"/>
      <c r="C27" s="207"/>
      <c r="D27" s="207"/>
      <c r="E27" s="207"/>
      <c r="F27" s="207"/>
    </row>
    <row r="28" spans="1:6" customFormat="1" ht="15.6">
      <c r="A28" s="207" t="s">
        <v>2102</v>
      </c>
      <c r="B28" s="207"/>
      <c r="C28" s="207"/>
      <c r="D28" s="207"/>
      <c r="E28" s="207"/>
      <c r="F28" s="207"/>
    </row>
    <row r="29" spans="1:6" customFormat="1" ht="15.6">
      <c r="A29" s="207" t="s">
        <v>2103</v>
      </c>
      <c r="B29" s="207"/>
      <c r="C29" s="207"/>
      <c r="D29" s="207"/>
      <c r="E29" s="207"/>
      <c r="F29" s="207"/>
    </row>
    <row r="30" spans="1:6" customFormat="1" ht="15.6">
      <c r="A30" s="207" t="s">
        <v>2104</v>
      </c>
      <c r="B30" s="207"/>
      <c r="C30" s="207"/>
      <c r="D30" s="207"/>
      <c r="E30" s="207"/>
      <c r="F30" s="207"/>
    </row>
    <row r="31" spans="1:6" customFormat="1" ht="15.6">
      <c r="A31" s="207" t="s">
        <v>2105</v>
      </c>
      <c r="B31" s="207"/>
      <c r="C31" s="207"/>
      <c r="D31" s="207"/>
      <c r="E31" s="207"/>
      <c r="F31" s="207"/>
    </row>
    <row r="32" spans="1:6" customFormat="1" ht="15.6">
      <c r="A32" s="156"/>
      <c r="B32" s="156"/>
      <c r="C32" s="156"/>
      <c r="D32" s="156"/>
      <c r="E32" s="156"/>
      <c r="F32" s="156"/>
    </row>
    <row r="33" spans="1:13" ht="44.25" customHeight="1">
      <c r="A33" s="208" t="s">
        <v>729</v>
      </c>
      <c r="B33" s="208"/>
      <c r="C33" s="208"/>
      <c r="D33" s="208"/>
      <c r="E33" s="208"/>
      <c r="F33" s="208"/>
    </row>
    <row r="34" spans="1:13" ht="24" customHeight="1">
      <c r="A34" s="154"/>
      <c r="B34" s="154"/>
      <c r="C34" s="154"/>
      <c r="D34" s="154"/>
      <c r="E34" s="154"/>
      <c r="F34" s="154"/>
    </row>
    <row r="35" spans="1:13" ht="15.6">
      <c r="A35" s="209" t="s">
        <v>83</v>
      </c>
      <c r="B35" s="209" t="s">
        <v>84</v>
      </c>
      <c r="C35" s="209" t="s">
        <v>85</v>
      </c>
      <c r="D35" s="209"/>
      <c r="E35" s="209"/>
      <c r="F35" s="209" t="s">
        <v>86</v>
      </c>
    </row>
    <row r="36" spans="1:13" ht="62.4">
      <c r="A36" s="209"/>
      <c r="B36" s="209"/>
      <c r="C36" s="155" t="s">
        <v>205</v>
      </c>
      <c r="D36" s="155" t="s">
        <v>87</v>
      </c>
      <c r="E36" s="155" t="s">
        <v>88</v>
      </c>
      <c r="F36" s="209"/>
    </row>
    <row r="37" spans="1:13" ht="13.8">
      <c r="A37" s="56">
        <v>1</v>
      </c>
      <c r="B37" s="56">
        <v>2</v>
      </c>
      <c r="C37" s="56">
        <v>3</v>
      </c>
      <c r="D37" s="56">
        <v>4</v>
      </c>
      <c r="E37" s="56">
        <v>5</v>
      </c>
      <c r="F37" s="56">
        <v>6</v>
      </c>
    </row>
    <row r="38" spans="1:13" ht="62.4">
      <c r="A38" s="155">
        <v>1</v>
      </c>
      <c r="B38" s="48" t="s">
        <v>171</v>
      </c>
      <c r="C38" s="57">
        <v>7442693.5599999987</v>
      </c>
      <c r="D38" s="58">
        <v>696</v>
      </c>
      <c r="E38" s="57">
        <v>24451.71</v>
      </c>
      <c r="F38" s="57">
        <f>C38/D38</f>
        <v>10693.525229885056</v>
      </c>
    </row>
    <row r="39" spans="1:13" ht="62.4">
      <c r="A39" s="155">
        <v>2</v>
      </c>
      <c r="B39" s="48" t="s">
        <v>206</v>
      </c>
      <c r="C39" s="57">
        <v>10203946.619999999</v>
      </c>
      <c r="D39" s="58">
        <v>696</v>
      </c>
      <c r="E39" s="57">
        <v>24451.71</v>
      </c>
      <c r="F39" s="57">
        <f t="shared" ref="F39:F41" si="0">C39/D39</f>
        <v>14660.842844827584</v>
      </c>
      <c r="M39" s="161"/>
    </row>
    <row r="40" spans="1:13" ht="202.8">
      <c r="A40" s="23" t="s">
        <v>172</v>
      </c>
      <c r="B40" s="48" t="s">
        <v>726</v>
      </c>
      <c r="C40" s="57">
        <v>8151428.6217241371</v>
      </c>
      <c r="D40" s="58">
        <v>556</v>
      </c>
      <c r="E40" s="57">
        <v>9969.7900000000009</v>
      </c>
      <c r="F40" s="57">
        <f t="shared" si="0"/>
        <v>14660.842844827584</v>
      </c>
    </row>
    <row r="41" spans="1:13" ht="156">
      <c r="A41" s="23" t="s">
        <v>173</v>
      </c>
      <c r="B41" s="48" t="s">
        <v>207</v>
      </c>
      <c r="C41" s="57">
        <v>2052517.9982758618</v>
      </c>
      <c r="D41" s="58">
        <v>140</v>
      </c>
      <c r="E41" s="57">
        <v>14481.92</v>
      </c>
      <c r="F41" s="57">
        <f t="shared" si="0"/>
        <v>14660.842844827584</v>
      </c>
    </row>
    <row r="42" spans="1:13" ht="15.6">
      <c r="A42" s="157"/>
      <c r="B42" s="158"/>
      <c r="C42" s="159"/>
      <c r="D42" s="160"/>
      <c r="E42" s="159"/>
      <c r="F42" s="159"/>
    </row>
    <row r="43" spans="1:13" ht="15.6">
      <c r="A43" s="157"/>
      <c r="B43" s="158"/>
      <c r="C43" s="159"/>
      <c r="D43" s="160"/>
      <c r="E43" s="159"/>
      <c r="F43" s="159"/>
    </row>
    <row r="44" spans="1:13" ht="15.6">
      <c r="A44" s="157"/>
      <c r="B44" s="158"/>
      <c r="C44" s="159"/>
      <c r="D44" s="160"/>
      <c r="E44" s="159"/>
      <c r="F44" s="159"/>
    </row>
    <row r="45" spans="1:13">
      <c r="A45" s="210" t="s">
        <v>2106</v>
      </c>
      <c r="B45" s="210"/>
      <c r="C45" s="210"/>
      <c r="D45" s="210"/>
      <c r="E45" s="210"/>
      <c r="F45" s="210"/>
    </row>
    <row r="46" spans="1:13" ht="15.6">
      <c r="A46" s="157"/>
      <c r="B46" s="158"/>
      <c r="C46" s="159"/>
      <c r="D46" s="160"/>
      <c r="E46" s="159"/>
      <c r="F46" s="159"/>
    </row>
    <row r="47" spans="1:13" ht="15.6">
      <c r="A47" s="157"/>
      <c r="B47" s="158"/>
      <c r="C47" s="159"/>
      <c r="D47" s="160"/>
      <c r="E47" s="159"/>
      <c r="F47" s="159"/>
    </row>
    <row r="48" spans="1:13" ht="15.6">
      <c r="A48" s="157"/>
      <c r="B48" s="158"/>
      <c r="C48" s="159"/>
      <c r="D48" s="160"/>
      <c r="E48" s="159"/>
      <c r="F48" s="159"/>
    </row>
    <row r="49" spans="1:6" ht="15.6">
      <c r="A49" s="157"/>
      <c r="B49" s="158"/>
      <c r="C49" s="159"/>
      <c r="D49" s="160"/>
      <c r="E49" s="159"/>
      <c r="F49" s="159"/>
    </row>
    <row r="51" spans="1:6">
      <c r="A51" s="162"/>
      <c r="B51" s="162"/>
      <c r="C51" s="162"/>
      <c r="D51" s="162"/>
      <c r="E51" s="162"/>
      <c r="F51" s="162"/>
    </row>
    <row r="52" spans="1:6">
      <c r="A52" s="162"/>
      <c r="B52" s="162"/>
      <c r="C52" s="162"/>
      <c r="D52" s="162"/>
      <c r="E52" s="162"/>
      <c r="F52" s="162"/>
    </row>
    <row r="53" spans="1:6" ht="15.6">
      <c r="A53" s="207" t="s">
        <v>2101</v>
      </c>
      <c r="B53" s="207"/>
      <c r="C53" s="207"/>
      <c r="D53" s="207"/>
      <c r="E53" s="207"/>
      <c r="F53" s="207"/>
    </row>
    <row r="54" spans="1:6" ht="15.6">
      <c r="A54" s="207" t="s">
        <v>2102</v>
      </c>
      <c r="B54" s="207"/>
      <c r="C54" s="207"/>
      <c r="D54" s="207"/>
      <c r="E54" s="207"/>
      <c r="F54" s="207"/>
    </row>
    <row r="55" spans="1:6" ht="15.6">
      <c r="A55" s="207" t="s">
        <v>2103</v>
      </c>
      <c r="B55" s="207"/>
      <c r="C55" s="207"/>
      <c r="D55" s="207"/>
      <c r="E55" s="207"/>
      <c r="F55" s="207"/>
    </row>
    <row r="56" spans="1:6" ht="15.6">
      <c r="A56" s="207" t="s">
        <v>2104</v>
      </c>
      <c r="B56" s="207"/>
      <c r="C56" s="207"/>
      <c r="D56" s="207"/>
      <c r="E56" s="207"/>
      <c r="F56" s="207"/>
    </row>
    <row r="57" spans="1:6" ht="15.6">
      <c r="A57" s="207" t="s">
        <v>2105</v>
      </c>
      <c r="B57" s="207"/>
      <c r="C57" s="207"/>
      <c r="D57" s="207"/>
      <c r="E57" s="207"/>
      <c r="F57" s="207"/>
    </row>
    <row r="58" spans="1:6" ht="15.6">
      <c r="A58" s="156"/>
      <c r="B58" s="156"/>
      <c r="C58" s="156"/>
      <c r="D58" s="156"/>
      <c r="E58" s="156"/>
      <c r="F58" s="156"/>
    </row>
    <row r="59" spans="1:6" ht="30" customHeight="1">
      <c r="A59" s="208" t="s">
        <v>2107</v>
      </c>
      <c r="B59" s="208"/>
      <c r="C59" s="208"/>
      <c r="D59" s="208"/>
      <c r="E59" s="208"/>
      <c r="F59" s="208"/>
    </row>
    <row r="60" spans="1:6" ht="16.2">
      <c r="A60" s="154"/>
      <c r="B60" s="154"/>
      <c r="C60" s="154"/>
      <c r="D60" s="154"/>
      <c r="E60" s="154"/>
      <c r="F60" s="154"/>
    </row>
    <row r="61" spans="1:6" ht="15.75" customHeight="1">
      <c r="A61" s="209" t="s">
        <v>83</v>
      </c>
      <c r="B61" s="209" t="s">
        <v>84</v>
      </c>
      <c r="C61" s="209" t="s">
        <v>85</v>
      </c>
      <c r="D61" s="209"/>
      <c r="E61" s="209"/>
      <c r="F61" s="209" t="s">
        <v>86</v>
      </c>
    </row>
    <row r="62" spans="1:6" ht="62.4">
      <c r="A62" s="209"/>
      <c r="B62" s="209"/>
      <c r="C62" s="155" t="s">
        <v>205</v>
      </c>
      <c r="D62" s="155" t="s">
        <v>87</v>
      </c>
      <c r="E62" s="155" t="s">
        <v>88</v>
      </c>
      <c r="F62" s="209"/>
    </row>
    <row r="63" spans="1:6" ht="13.8">
      <c r="A63" s="56">
        <v>1</v>
      </c>
      <c r="B63" s="56">
        <v>2</v>
      </c>
      <c r="C63" s="56">
        <v>3</v>
      </c>
      <c r="D63" s="56">
        <v>4</v>
      </c>
      <c r="E63" s="56">
        <v>5</v>
      </c>
      <c r="F63" s="56">
        <v>6</v>
      </c>
    </row>
    <row r="64" spans="1:6" ht="62.4">
      <c r="A64" s="155">
        <v>1</v>
      </c>
      <c r="B64" s="48" t="s">
        <v>171</v>
      </c>
      <c r="C64" s="57">
        <v>5839502.0079999994</v>
      </c>
      <c r="D64" s="58">
        <v>760</v>
      </c>
      <c r="E64" s="57">
        <v>25348.31</v>
      </c>
      <c r="F64" s="57">
        <v>7683.5552736842101</v>
      </c>
    </row>
    <row r="65" spans="1:6" ht="62.4">
      <c r="A65" s="155">
        <v>2</v>
      </c>
      <c r="B65" s="48" t="s">
        <v>206</v>
      </c>
      <c r="C65" s="57">
        <v>7176598.6119999997</v>
      </c>
      <c r="D65" s="58">
        <v>760</v>
      </c>
      <c r="E65" s="57">
        <v>25348.31</v>
      </c>
      <c r="F65" s="57">
        <v>9442.892910526316</v>
      </c>
    </row>
    <row r="66" spans="1:6" ht="202.8">
      <c r="A66" s="23" t="s">
        <v>172</v>
      </c>
      <c r="B66" s="48" t="s">
        <v>726</v>
      </c>
      <c r="C66" s="57">
        <v>6194537.7493052632</v>
      </c>
      <c r="D66" s="58">
        <v>656</v>
      </c>
      <c r="E66" s="57">
        <v>11525.800000000001</v>
      </c>
      <c r="F66" s="57">
        <v>9442.892910526316</v>
      </c>
    </row>
    <row r="67" spans="1:6" ht="156">
      <c r="A67" s="23" t="s">
        <v>173</v>
      </c>
      <c r="B67" s="48" t="s">
        <v>207</v>
      </c>
      <c r="C67" s="57">
        <v>982060.8626947368</v>
      </c>
      <c r="D67" s="58">
        <v>104</v>
      </c>
      <c r="E67" s="57">
        <v>13822.51</v>
      </c>
      <c r="F67" s="57">
        <v>9442.892910526316</v>
      </c>
    </row>
    <row r="68" spans="1:6" ht="15.6">
      <c r="A68" s="157"/>
      <c r="B68" s="158"/>
      <c r="C68" s="159"/>
      <c r="D68" s="160"/>
      <c r="E68" s="159"/>
      <c r="F68" s="159"/>
    </row>
    <row r="69" spans="1:6" ht="15.6">
      <c r="A69" s="157"/>
      <c r="B69" s="158"/>
      <c r="C69" s="159"/>
      <c r="D69" s="160"/>
      <c r="E69" s="159"/>
      <c r="F69" s="159"/>
    </row>
    <row r="70" spans="1:6" ht="15.6">
      <c r="A70" s="157"/>
      <c r="B70" s="158"/>
      <c r="C70" s="159"/>
      <c r="D70" s="160"/>
      <c r="E70" s="159"/>
      <c r="F70" s="159"/>
    </row>
    <row r="71" spans="1:6" ht="15.6">
      <c r="A71" s="157"/>
      <c r="B71" s="158"/>
      <c r="C71" s="159"/>
      <c r="D71" s="160"/>
      <c r="E71" s="159"/>
      <c r="F71" s="159"/>
    </row>
    <row r="72" spans="1:6" ht="15.6">
      <c r="A72" s="157"/>
      <c r="B72" s="158"/>
      <c r="C72" s="159"/>
      <c r="D72" s="160"/>
      <c r="E72" s="159"/>
      <c r="F72" s="159"/>
    </row>
    <row r="73" spans="1:6">
      <c r="A73" s="210" t="s">
        <v>2106</v>
      </c>
      <c r="B73" s="210"/>
      <c r="C73" s="210"/>
      <c r="D73" s="210"/>
      <c r="E73" s="210"/>
      <c r="F73" s="210"/>
    </row>
  </sheetData>
  <mergeCells count="33">
    <mergeCell ref="A73:F73"/>
    <mergeCell ref="A57:F57"/>
    <mergeCell ref="A59:F59"/>
    <mergeCell ref="A61:A62"/>
    <mergeCell ref="B61:B62"/>
    <mergeCell ref="C61:E61"/>
    <mergeCell ref="F61:F62"/>
    <mergeCell ref="A45:F45"/>
    <mergeCell ref="A53:F53"/>
    <mergeCell ref="A54:F54"/>
    <mergeCell ref="A55:F55"/>
    <mergeCell ref="A56:F56"/>
    <mergeCell ref="A33:F33"/>
    <mergeCell ref="A35:A36"/>
    <mergeCell ref="B35:B36"/>
    <mergeCell ref="C35:E35"/>
    <mergeCell ref="F35:F36"/>
    <mergeCell ref="A27:F27"/>
    <mergeCell ref="A28:F28"/>
    <mergeCell ref="A29:F29"/>
    <mergeCell ref="A30:F30"/>
    <mergeCell ref="A31:F31"/>
    <mergeCell ref="A10:A11"/>
    <mergeCell ref="B10:B11"/>
    <mergeCell ref="C10:E10"/>
    <mergeCell ref="F10:F11"/>
    <mergeCell ref="A20:F20"/>
    <mergeCell ref="A2:F2"/>
    <mergeCell ref="A4:F4"/>
    <mergeCell ref="A5:F5"/>
    <mergeCell ref="A6:F6"/>
    <mergeCell ref="A8:F8"/>
    <mergeCell ref="A3:F3"/>
  </mergeCells>
  <pageMargins left="0.70866141732283472" right="0.39370078740157483" top="0.59055118110236227" bottom="0.59055118110236227" header="0.31496062992125984" footer="0.31496062992125984"/>
  <pageSetup paperSize="9" scale="43" orientation="portrait" r:id="rId1"/>
  <rowBreaks count="1" manualBreakCount="1">
    <brk id="2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прогнозные сведения</vt:lpstr>
      <vt:lpstr>2</vt:lpstr>
      <vt:lpstr>3</vt:lpstr>
      <vt:lpstr>4</vt:lpstr>
      <vt:lpstr>5</vt:lpstr>
      <vt:lpstr>прил 1_2022</vt:lpstr>
      <vt:lpstr>прил 1_2023</vt:lpstr>
      <vt:lpstr>прил 1_2024</vt:lpstr>
      <vt:lpstr>прил 2</vt:lpstr>
      <vt:lpstr>'2'!Область_печати</vt:lpstr>
      <vt:lpstr>'3'!Область_печати</vt:lpstr>
      <vt:lpstr>'4'!Область_печати</vt:lpstr>
      <vt:lpstr>'5'!Область_печати</vt:lpstr>
      <vt:lpstr>'прил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Мельников Дмитрий Алексеевич</dc:creator>
  <cp:lastModifiedBy>Сенопальникова Ольга Евгеньевна</cp:lastModifiedBy>
  <cp:lastPrinted>2024-07-29T10:53:39Z</cp:lastPrinted>
  <dcterms:created xsi:type="dcterms:W3CDTF">2019-10-18T10:53:42Z</dcterms:created>
  <dcterms:modified xsi:type="dcterms:W3CDTF">2025-08-14T08:56:12Z</dcterms:modified>
</cp:coreProperties>
</file>